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share\Freedom of Information\Requests\2024\December\"/>
    </mc:Choice>
  </mc:AlternateContent>
  <bookViews>
    <workbookView xWindow="0" yWindow="0" windowWidth="28740" windowHeight="11520"/>
  </bookViews>
  <sheets>
    <sheet name="Contract Price AfC" sheetId="3" r:id="rId1"/>
  </sheets>
  <externalReferences>
    <externalReference r:id="rId2"/>
    <externalReference r:id="rId3"/>
  </externalReferences>
  <definedNames>
    <definedName name="__123Graph_A" hidden="1">'[1]Labour Costs'!#REF!</definedName>
    <definedName name="__123Graph_B" hidden="1">'[1]Labour Costs'!#REF!</definedName>
    <definedName name="_xlnm.Criteria">#REF!</definedName>
    <definedName name="_xlnm.Database">#REF!</definedName>
    <definedName name="items">[1]Items!$A$2:$A$990</definedName>
    <definedName name="items_array">[1]Items!$A$2:$B$99</definedName>
    <definedName name="_xlnm.Print_Area" localSheetId="0">'Contract Price AfC'!$B$1:$J$2</definedName>
    <definedName name="Type">#REF!</definedName>
    <definedName name="week1">#REF!</definedName>
    <definedName name="week2">#REF!</definedName>
    <definedName name="week4">#REF!</definedName>
    <definedName name="week5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4" i="3" l="1"/>
  <c r="S26" i="3"/>
  <c r="S23" i="3"/>
  <c r="T23" i="3" s="1"/>
  <c r="U23" i="3" s="1"/>
  <c r="V23" i="3" s="1"/>
  <c r="I27" i="3"/>
  <c r="R23" i="3"/>
  <c r="R21" i="3"/>
  <c r="W21" i="3" s="1"/>
  <c r="M22" i="3"/>
  <c r="R22" i="3" s="1"/>
  <c r="R20" i="3"/>
  <c r="R26" i="3"/>
  <c r="R24" i="3"/>
  <c r="S14" i="3"/>
  <c r="T14" i="3" s="1"/>
  <c r="T9" i="3"/>
  <c r="U9" i="3" s="1"/>
  <c r="V9" i="3" s="1"/>
  <c r="S8" i="3"/>
  <c r="T8" i="3" s="1"/>
  <c r="U8" i="3" s="1"/>
  <c r="V8" i="3" s="1"/>
  <c r="S9" i="3"/>
  <c r="S10" i="3"/>
  <c r="T10" i="3" s="1"/>
  <c r="S12" i="3"/>
  <c r="T12" i="3" s="1"/>
  <c r="U12" i="3" s="1"/>
  <c r="V12" i="3" s="1"/>
  <c r="S7" i="3"/>
  <c r="T7" i="3" s="1"/>
  <c r="U7" i="3" s="1"/>
  <c r="V7" i="3" s="1"/>
  <c r="N63" i="3"/>
  <c r="N52" i="3"/>
  <c r="N57" i="3" s="1"/>
  <c r="N58" i="3" s="1"/>
  <c r="N46" i="3"/>
  <c r="N54" i="3" s="1"/>
  <c r="C41" i="3"/>
  <c r="P39" i="3"/>
  <c r="C35" i="3"/>
  <c r="D35" i="3" s="1"/>
  <c r="D34" i="3"/>
  <c r="S22" i="3" l="1"/>
  <c r="T22" i="3" s="1"/>
  <c r="U22" i="3" s="1"/>
  <c r="V22" i="3" s="1"/>
  <c r="M25" i="3"/>
  <c r="S25" i="3" s="1"/>
  <c r="T25" i="3" s="1"/>
  <c r="U25" i="3" s="1"/>
  <c r="V25" i="3" s="1"/>
  <c r="W23" i="3"/>
  <c r="U14" i="3"/>
  <c r="V14" i="3" s="1"/>
  <c r="U10" i="3"/>
  <c r="V10" i="3" s="1"/>
  <c r="D36" i="3"/>
  <c r="W25" i="3" l="1"/>
  <c r="W22" i="3"/>
  <c r="M27" i="3"/>
  <c r="R25" i="3"/>
  <c r="R27" i="3"/>
  <c r="S27" i="3"/>
  <c r="T27" i="3" s="1"/>
  <c r="U27" i="3" s="1"/>
  <c r="V27" i="3" s="1"/>
  <c r="O30" i="3"/>
  <c r="R8" i="3"/>
  <c r="W8" i="3" s="1"/>
  <c r="R10" i="3"/>
  <c r="W10" i="3" s="1"/>
  <c r="W27" i="3" l="1"/>
  <c r="R9" i="3"/>
  <c r="W9" i="3" s="1"/>
  <c r="R12" i="3"/>
  <c r="W12" i="3" s="1"/>
  <c r="R7" i="3"/>
  <c r="W7" i="3" s="1"/>
  <c r="R14" i="3" l="1"/>
  <c r="W14" i="3" s="1"/>
  <c r="W44" i="3" s="1"/>
</calcChain>
</file>

<file path=xl/comments1.xml><?xml version="1.0" encoding="utf-8"?>
<comments xmlns="http://schemas.openxmlformats.org/spreadsheetml/2006/main">
  <authors>
    <author>mpetrasova</author>
    <author>Maloney, Chris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mpetrasova:</t>
        </r>
        <r>
          <rPr>
            <sz val="9"/>
            <color indexed="81"/>
            <rFont val="Tahoma"/>
            <family val="2"/>
          </rPr>
          <t xml:space="preserve">
Inc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mpetrasova:</t>
        </r>
        <r>
          <rPr>
            <sz val="9"/>
            <color indexed="81"/>
            <rFont val="Tahoma"/>
            <family val="2"/>
          </rPr>
          <t xml:space="preserve">
Incl 3% AfC pay award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>mpetrasova:</t>
        </r>
        <r>
          <rPr>
            <sz val="9"/>
            <color indexed="81"/>
            <rFont val="Tahoma"/>
            <family val="2"/>
          </rPr>
          <t xml:space="preserve">
Incl part of the Management cost £145,968 (AfC) and £379,880 non-AfC as per 4.General management cost and 3 Domestic Services</t>
        </r>
      </text>
    </comment>
    <comment ref="C33" authorId="1" shapeId="0">
      <text>
        <r>
          <rPr>
            <b/>
            <sz val="9"/>
            <color indexed="81"/>
            <rFont val="Tahoma"/>
            <family val="2"/>
          </rPr>
          <t>Maloney, Chris:</t>
        </r>
        <r>
          <rPr>
            <sz val="9"/>
            <color indexed="81"/>
            <rFont val="Tahoma"/>
            <family val="2"/>
          </rPr>
          <t xml:space="preserve">
ONS states 109.4 but 109.7 was used for Apr 21.</t>
        </r>
      </text>
    </comment>
  </commentList>
</comments>
</file>

<file path=xl/sharedStrings.xml><?xml version="1.0" encoding="utf-8"?>
<sst xmlns="http://schemas.openxmlformats.org/spreadsheetml/2006/main" count="60" uniqueCount="46">
  <si>
    <t>Luton &amp; Dunstable</t>
  </si>
  <si>
    <t>Contract Price</t>
  </si>
  <si>
    <t>Base Price</t>
  </si>
  <si>
    <t>Health &amp; Social Care Levy 22/23</t>
  </si>
  <si>
    <t>Health &amp; Social Care Levy 23/24</t>
  </si>
  <si>
    <t>Non-Labour</t>
  </si>
  <si>
    <t>AfC Labour</t>
  </si>
  <si>
    <t>Non Labour</t>
  </si>
  <si>
    <t>Domestics</t>
  </si>
  <si>
    <t>Incl VAT</t>
  </si>
  <si>
    <t>Domestics - Cobham</t>
  </si>
  <si>
    <t>Domestic</t>
  </si>
  <si>
    <t>Day Patient Catering</t>
  </si>
  <si>
    <t>In-Patient Catering</t>
  </si>
  <si>
    <t>Total</t>
  </si>
  <si>
    <t>Annual Value</t>
  </si>
  <si>
    <t>Variations</t>
  </si>
  <si>
    <t>LUT_21_02 COVID Touchpoint</t>
  </si>
  <si>
    <t>LUT_21_01 Perm Accomodation Changes</t>
  </si>
  <si>
    <t xml:space="preserve">LUT 06_12 Change request </t>
  </si>
  <si>
    <t>CPI INCREASE</t>
  </si>
  <si>
    <t>Index</t>
  </si>
  <si>
    <t>Actual CPI</t>
  </si>
  <si>
    <t>Permanent variation</t>
  </si>
  <si>
    <t>actual</t>
  </si>
  <si>
    <t>charged</t>
  </si>
  <si>
    <t>A4C INCREASE</t>
  </si>
  <si>
    <t>% Increase</t>
  </si>
  <si>
    <t>Covid</t>
  </si>
  <si>
    <t>Catering</t>
  </si>
  <si>
    <t>Discharge Cleans</t>
  </si>
  <si>
    <t>A&amp;E Office</t>
  </si>
  <si>
    <t>Maternity</t>
  </si>
  <si>
    <t>ED additional</t>
  </si>
  <si>
    <t>Change</t>
  </si>
  <si>
    <t>24/25 Inflation</t>
  </si>
  <si>
    <t>24/25 Tota change</t>
  </si>
  <si>
    <t>Hospitality</t>
  </si>
  <si>
    <t>Extra Catering</t>
  </si>
  <si>
    <t>Extra Cleaning</t>
  </si>
  <si>
    <t>Cobham Catering</t>
  </si>
  <si>
    <t>Base Price - part year cost</t>
  </si>
  <si>
    <t>Nov 20 - March 25</t>
  </si>
  <si>
    <t>April 27 - 31/10/27</t>
  </si>
  <si>
    <t>Total contract cost Nov 20 - 31/10/27</t>
  </si>
  <si>
    <t>Total contract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</si>
</sst>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-&quot;£&quot;* #,##0.00_-;\-&quot;£&quot;* #,##0.00_-;_-&quot;£&quot;* &quot;-&quot;??_-;_-@_-"/>
    <numFmt numFmtId="164" formatCode="&quot; &quot;#,##0.00&quot; &quot;;&quot;-&quot;#,##0.00&quot; &quot;;&quot; -&quot;00&quot; &quot;;&quot; &quot;@&quot; &quot;"/>
    <numFmt numFmtId="165" formatCode="_-&quot;£&quot;* #,##0_-;\-&quot;£&quot;* #,##0_-;_-&quot;£&quot;* &quot;-&quot;??_-;_-@_-"/>
    <numFmt numFmtId="166" formatCode="_-[$£-809]* #,##0.00_-;\-[$£-809]* #,##0.00_-;_-[$£-809]* &quot;-&quot;??_-;_-@_-"/>
    <numFmt numFmtId="167" formatCode="0.000%"/>
    <numFmt numFmtId="168" formatCode="&quot; &quot;[$£-809]#,##0.00&quot; &quot;;&quot;-&quot;[$£-809]#,##0.00&quot; &quot;;&quot; &quot;[$£-809]&quot;-&quot;00&quot; &quot;;&quot; &quot;@&quot; &quot;"/>
    <numFmt numFmtId="169" formatCode="&quot; &quot;#,##0.00&quot; &quot;;&quot;-&quot;#,##0.00&quot; &quot;;&quot; -&quot;00.0&quot; &quot;;&quot; &quot;@&quot; &quot;"/>
    <numFmt numFmtId="170" formatCode="0.0%"/>
    <numFmt numFmtId="171" formatCode="&quot; &quot;#,##0.00&quot; &quot;;&quot;-&quot;#,##0.00&quot; &quot;;&quot; -&quot;00.00&quot; &quot;;&quot; &quot;@&quot; &quot;"/>
    <numFmt numFmtId="172" formatCode="_-&quot;£&quot;* #,##0.0000_-;\-&quot;£&quot;* #,##0.0000_-;_-&quot;£&quot;* &quot;-&quot;??_-;_-@_-"/>
    <numFmt numFmtId="173" formatCode="&quot; &quot;#,##0&quot; &quot;;&quot;-&quot;#,##0&quot; &quot;;&quot; -&quot;00&quot; &quot;;&quot; &quot;@&quot; &quot;"/>
    <numFmt numFmtId="174" formatCode="_-[$£-809]* #,##0_-;\-[$£-809]* #,##0_-;_-[$£-809]* &quot;-&quot;??_-;_-@_-"/>
  </numFmts>
  <fonts count="18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  <font>
      <b/>
      <u/>
      <sz val="12"/>
      <color indexed="8"/>
      <name val="Arial"/>
      <family val="2"/>
    </font>
    <font>
      <b/>
      <u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b/>
      <sz val="10"/>
      <color rgb="FF00B050"/>
      <name val="Arial"/>
      <family val="2"/>
    </font>
    <font>
      <sz val="10"/>
      <color rgb="FF00B050"/>
      <name val="Arial"/>
      <family val="2"/>
    </font>
    <font>
      <b/>
      <i/>
      <u/>
      <sz val="11"/>
      <color indexed="10"/>
      <name val="Calibri"/>
      <family val="2"/>
      <scheme val="minor"/>
    </font>
    <font>
      <i/>
      <sz val="11"/>
      <color indexed="10"/>
      <name val="Calibri"/>
      <family val="2"/>
      <scheme val="minor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ont="0" applyBorder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2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3" applyFont="1"/>
    <xf numFmtId="0" fontId="3" fillId="0" borderId="0" xfId="3" applyFont="1" applyAlignment="1">
      <alignment horizontal="left"/>
    </xf>
    <xf numFmtId="0" fontId="4" fillId="0" borderId="0" xfId="3" applyFont="1" applyAlignment="1">
      <alignment horizontal="left"/>
    </xf>
    <xf numFmtId="44" fontId="2" fillId="0" borderId="0" xfId="3" applyNumberFormat="1" applyFont="1"/>
    <xf numFmtId="0" fontId="2" fillId="0" borderId="4" xfId="3" applyFont="1" applyBorder="1"/>
    <xf numFmtId="0" fontId="2" fillId="0" borderId="7" xfId="3" applyFont="1" applyBorder="1"/>
    <xf numFmtId="0" fontId="5" fillId="0" borderId="0" xfId="3" applyFont="1" applyBorder="1" applyAlignment="1">
      <alignment horizontal="center"/>
    </xf>
    <xf numFmtId="17" fontId="5" fillId="0" borderId="0" xfId="3" applyNumberFormat="1" applyFont="1" applyBorder="1" applyAlignment="1">
      <alignment horizontal="center"/>
    </xf>
    <xf numFmtId="44" fontId="5" fillId="0" borderId="7" xfId="4" applyNumberFormat="1" applyFont="1" applyFill="1" applyBorder="1" applyAlignment="1"/>
    <xf numFmtId="44" fontId="6" fillId="0" borderId="0" xfId="3" applyNumberFormat="1" applyFont="1" applyBorder="1"/>
    <xf numFmtId="44" fontId="2" fillId="2" borderId="0" xfId="3" applyNumberFormat="1" applyFont="1" applyFill="1" applyBorder="1"/>
    <xf numFmtId="44" fontId="2" fillId="0" borderId="0" xfId="3" applyNumberFormat="1" applyFont="1" applyBorder="1"/>
    <xf numFmtId="165" fontId="2" fillId="0" borderId="0" xfId="3" applyNumberFormat="1" applyFont="1" applyBorder="1"/>
    <xf numFmtId="166" fontId="2" fillId="0" borderId="8" xfId="3" applyNumberFormat="1" applyFont="1" applyBorder="1"/>
    <xf numFmtId="0" fontId="5" fillId="0" borderId="7" xfId="3" applyFont="1" applyBorder="1"/>
    <xf numFmtId="44" fontId="2" fillId="0" borderId="8" xfId="3" applyNumberFormat="1" applyFont="1" applyBorder="1"/>
    <xf numFmtId="0" fontId="7" fillId="0" borderId="0" xfId="3" applyFont="1"/>
    <xf numFmtId="44" fontId="8" fillId="0" borderId="7" xfId="4" applyNumberFormat="1" applyFont="1" applyFill="1" applyBorder="1" applyAlignment="1"/>
    <xf numFmtId="44" fontId="7" fillId="0" borderId="0" xfId="3" applyNumberFormat="1" applyFont="1" applyBorder="1"/>
    <xf numFmtId="166" fontId="7" fillId="0" borderId="8" xfId="3" applyNumberFormat="1" applyFont="1" applyBorder="1"/>
    <xf numFmtId="44" fontId="9" fillId="2" borderId="0" xfId="3" applyNumberFormat="1" applyFont="1" applyFill="1" applyBorder="1"/>
    <xf numFmtId="165" fontId="9" fillId="0" borderId="0" xfId="3" applyNumberFormat="1" applyFont="1" applyBorder="1"/>
    <xf numFmtId="0" fontId="2" fillId="0" borderId="0" xfId="3" applyFont="1" applyBorder="1"/>
    <xf numFmtId="0" fontId="2" fillId="0" borderId="8" xfId="3" applyFont="1" applyBorder="1"/>
    <xf numFmtId="44" fontId="5" fillId="0" borderId="0" xfId="3" applyNumberFormat="1" applyFont="1" applyBorder="1"/>
    <xf numFmtId="44" fontId="5" fillId="0" borderId="8" xfId="3" applyNumberFormat="1" applyFont="1" applyBorder="1"/>
    <xf numFmtId="167" fontId="2" fillId="0" borderId="0" xfId="5" applyNumberFormat="1" applyFont="1" applyFill="1" applyBorder="1" applyAlignment="1"/>
    <xf numFmtId="164" fontId="2" fillId="0" borderId="0" xfId="4" applyFont="1" applyFill="1" applyBorder="1" applyAlignment="1"/>
    <xf numFmtId="164" fontId="2" fillId="0" borderId="8" xfId="4" applyFont="1" applyFill="1" applyBorder="1" applyAlignment="1"/>
    <xf numFmtId="44" fontId="9" fillId="0" borderId="0" xfId="3" applyNumberFormat="1" applyFont="1" applyBorder="1"/>
    <xf numFmtId="0" fontId="10" fillId="0" borderId="7" xfId="3" applyFont="1" applyBorder="1"/>
    <xf numFmtId="44" fontId="11" fillId="0" borderId="0" xfId="3" applyNumberFormat="1" applyFont="1" applyBorder="1"/>
    <xf numFmtId="168" fontId="11" fillId="0" borderId="0" xfId="3" applyNumberFormat="1" applyFont="1" applyBorder="1"/>
    <xf numFmtId="44" fontId="11" fillId="0" borderId="8" xfId="3" applyNumberFormat="1" applyFont="1" applyBorder="1"/>
    <xf numFmtId="0" fontId="11" fillId="0" borderId="0" xfId="3" applyFont="1"/>
    <xf numFmtId="167" fontId="2" fillId="0" borderId="0" xfId="5" applyNumberFormat="1" applyFont="1" applyFill="1" applyAlignment="1"/>
    <xf numFmtId="168" fontId="2" fillId="0" borderId="0" xfId="6" applyFont="1" applyBorder="1"/>
    <xf numFmtId="0" fontId="12" fillId="3" borderId="9" xfId="3" applyFont="1" applyFill="1" applyBorder="1" applyAlignment="1">
      <alignment horizontal="center"/>
    </xf>
    <xf numFmtId="0" fontId="12" fillId="3" borderId="10" xfId="3" applyFont="1" applyFill="1" applyBorder="1" applyAlignment="1">
      <alignment horizontal="center"/>
    </xf>
    <xf numFmtId="0" fontId="2" fillId="0" borderId="0" xfId="3" applyFont="1" applyFill="1"/>
    <xf numFmtId="0" fontId="12" fillId="3" borderId="11" xfId="3" applyFont="1" applyFill="1" applyBorder="1" applyAlignment="1">
      <alignment horizontal="left"/>
    </xf>
    <xf numFmtId="0" fontId="12" fillId="3" borderId="12" xfId="3" applyFont="1" applyFill="1" applyBorder="1" applyAlignment="1">
      <alignment horizontal="center"/>
    </xf>
    <xf numFmtId="44" fontId="2" fillId="0" borderId="0" xfId="3" applyNumberFormat="1" applyFont="1" applyFill="1"/>
    <xf numFmtId="17" fontId="13" fillId="3" borderId="11" xfId="3" applyNumberFormat="1" applyFont="1" applyFill="1" applyBorder="1" applyAlignment="1">
      <alignment horizontal="center"/>
    </xf>
    <xf numFmtId="169" fontId="13" fillId="3" borderId="12" xfId="3" applyNumberFormat="1" applyFont="1" applyFill="1" applyBorder="1" applyAlignment="1">
      <alignment horizontal="center"/>
    </xf>
    <xf numFmtId="167" fontId="2" fillId="0" borderId="0" xfId="5" applyNumberFormat="1" applyFont="1" applyFill="1"/>
    <xf numFmtId="164" fontId="2" fillId="0" borderId="0" xfId="4" applyFont="1" applyFill="1"/>
    <xf numFmtId="170" fontId="2" fillId="0" borderId="0" xfId="5" applyNumberFormat="1" applyFont="1" applyFill="1"/>
    <xf numFmtId="17" fontId="13" fillId="3" borderId="13" xfId="3" applyNumberFormat="1" applyFont="1" applyFill="1" applyBorder="1" applyAlignment="1">
      <alignment horizontal="center"/>
    </xf>
    <xf numFmtId="169" fontId="13" fillId="3" borderId="14" xfId="4" applyNumberFormat="1" applyFont="1" applyFill="1" applyBorder="1" applyAlignment="1">
      <alignment horizontal="center"/>
    </xf>
    <xf numFmtId="167" fontId="2" fillId="0" borderId="0" xfId="3" applyNumberFormat="1" applyFont="1" applyFill="1"/>
    <xf numFmtId="10" fontId="2" fillId="0" borderId="0" xfId="5" applyNumberFormat="1" applyFont="1" applyFill="1"/>
    <xf numFmtId="164" fontId="2" fillId="0" borderId="0" xfId="3" applyNumberFormat="1" applyFont="1" applyFill="1"/>
    <xf numFmtId="170" fontId="13" fillId="3" borderId="12" xfId="5" applyNumberFormat="1" applyFont="1" applyFill="1" applyBorder="1" applyAlignment="1">
      <alignment horizontal="center"/>
    </xf>
    <xf numFmtId="166" fontId="2" fillId="0" borderId="0" xfId="3" applyNumberFormat="1" applyFont="1" applyFill="1"/>
    <xf numFmtId="171" fontId="2" fillId="0" borderId="0" xfId="4" applyNumberFormat="1" applyFont="1" applyFill="1"/>
    <xf numFmtId="172" fontId="2" fillId="0" borderId="0" xfId="3" applyNumberFormat="1" applyFont="1"/>
    <xf numFmtId="170" fontId="13" fillId="3" borderId="15" xfId="5" applyNumberFormat="1" applyFont="1" applyFill="1" applyBorder="1" applyAlignment="1">
      <alignment horizontal="center"/>
    </xf>
    <xf numFmtId="173" fontId="2" fillId="0" borderId="0" xfId="4" applyNumberFormat="1" applyFont="1" applyFill="1"/>
    <xf numFmtId="0" fontId="14" fillId="0" borderId="0" xfId="3" applyFont="1" applyAlignment="1">
      <alignment horizontal="center"/>
    </xf>
    <xf numFmtId="173" fontId="2" fillId="0" borderId="0" xfId="4" applyNumberFormat="1" applyFont="1" applyFill="1" applyAlignment="1"/>
    <xf numFmtId="13" fontId="2" fillId="0" borderId="0" xfId="3" applyNumberFormat="1" applyFont="1" applyFill="1"/>
    <xf numFmtId="44" fontId="2" fillId="0" borderId="0" xfId="3" applyNumberFormat="1" applyFont="1" applyFill="1" applyAlignment="1">
      <alignment horizontal="left"/>
    </xf>
    <xf numFmtId="165" fontId="2" fillId="0" borderId="0" xfId="3" applyNumberFormat="1" applyFont="1" applyFill="1"/>
    <xf numFmtId="165" fontId="2" fillId="0" borderId="0" xfId="3" applyNumberFormat="1" applyFont="1"/>
    <xf numFmtId="0" fontId="11" fillId="0" borderId="0" xfId="3" applyFont="1" applyAlignment="1">
      <alignment horizontal="left"/>
    </xf>
    <xf numFmtId="165" fontId="11" fillId="0" borderId="0" xfId="6" applyNumberFormat="1" applyFont="1"/>
    <xf numFmtId="174" fontId="2" fillId="0" borderId="0" xfId="3" applyNumberFormat="1" applyFont="1"/>
    <xf numFmtId="44" fontId="2" fillId="2" borderId="0" xfId="1" applyFont="1" applyFill="1" applyBorder="1"/>
    <xf numFmtId="44" fontId="2" fillId="0" borderId="0" xfId="1" applyFont="1" applyBorder="1"/>
    <xf numFmtId="44" fontId="7" fillId="0" borderId="0" xfId="1" applyFont="1" applyBorder="1"/>
    <xf numFmtId="44" fontId="5" fillId="0" borderId="0" xfId="1" applyFont="1" applyBorder="1"/>
    <xf numFmtId="44" fontId="2" fillId="0" borderId="0" xfId="1" applyFont="1" applyFill="1" applyBorder="1" applyAlignment="1">
      <alignment horizontal="center"/>
    </xf>
    <xf numFmtId="166" fontId="2" fillId="0" borderId="0" xfId="3" applyNumberFormat="1" applyFont="1" applyBorder="1"/>
    <xf numFmtId="166" fontId="11" fillId="0" borderId="0" xfId="3" applyNumberFormat="1" applyFont="1" applyBorder="1"/>
    <xf numFmtId="166" fontId="5" fillId="0" borderId="0" xfId="3" applyNumberFormat="1" applyFont="1" applyBorder="1"/>
    <xf numFmtId="17" fontId="5" fillId="0" borderId="0" xfId="3" applyNumberFormat="1" applyFont="1" applyAlignment="1">
      <alignment horizontal="center" vertical="top"/>
    </xf>
    <xf numFmtId="165" fontId="2" fillId="0" borderId="0" xfId="1" applyNumberFormat="1" applyFont="1"/>
    <xf numFmtId="165" fontId="5" fillId="0" borderId="0" xfId="1" applyNumberFormat="1" applyFont="1" applyAlignment="1">
      <alignment horizontal="center" vertical="top"/>
    </xf>
    <xf numFmtId="165" fontId="14" fillId="0" borderId="0" xfId="1" applyNumberFormat="1" applyFont="1" applyAlignment="1">
      <alignment horizontal="center"/>
    </xf>
    <xf numFmtId="9" fontId="2" fillId="0" borderId="0" xfId="2" applyFont="1"/>
    <xf numFmtId="0" fontId="5" fillId="0" borderId="0" xfId="3" applyFont="1" applyAlignment="1">
      <alignment horizontal="center" vertical="top" wrapText="1"/>
    </xf>
    <xf numFmtId="165" fontId="17" fillId="0" borderId="0" xfId="1" applyNumberFormat="1" applyFont="1"/>
    <xf numFmtId="165" fontId="5" fillId="0" borderId="0" xfId="1" applyNumberFormat="1" applyFont="1"/>
    <xf numFmtId="0" fontId="5" fillId="0" borderId="0" xfId="3" applyFont="1"/>
    <xf numFmtId="165" fontId="5" fillId="0" borderId="0" xfId="3" applyNumberFormat="1" applyFont="1"/>
    <xf numFmtId="0" fontId="5" fillId="0" borderId="5" xfId="3" applyFont="1" applyBorder="1" applyAlignment="1">
      <alignment horizontal="center" wrapText="1"/>
    </xf>
    <xf numFmtId="0" fontId="5" fillId="0" borderId="0" xfId="3" applyFont="1" applyBorder="1" applyAlignment="1">
      <alignment horizontal="center" wrapText="1"/>
    </xf>
    <xf numFmtId="0" fontId="5" fillId="0" borderId="6" xfId="3" applyFont="1" applyBorder="1" applyAlignment="1">
      <alignment horizontal="center" wrapText="1"/>
    </xf>
    <xf numFmtId="0" fontId="5" fillId="0" borderId="8" xfId="3" applyFont="1" applyBorder="1" applyAlignment="1">
      <alignment horizontal="center" wrapText="1"/>
    </xf>
    <xf numFmtId="0" fontId="5" fillId="0" borderId="5" xfId="3" applyFont="1" applyBorder="1" applyAlignment="1">
      <alignment horizontal="center"/>
    </xf>
    <xf numFmtId="0" fontId="5" fillId="2" borderId="1" xfId="3" applyFont="1" applyFill="1" applyBorder="1" applyAlignment="1">
      <alignment horizontal="center"/>
    </xf>
    <xf numFmtId="0" fontId="5" fillId="2" borderId="2" xfId="3" applyFont="1" applyFill="1" applyBorder="1" applyAlignment="1">
      <alignment horizontal="center"/>
    </xf>
    <xf numFmtId="0" fontId="5" fillId="2" borderId="3" xfId="3" applyFont="1" applyFill="1" applyBorder="1" applyAlignment="1">
      <alignment horizontal="center"/>
    </xf>
    <xf numFmtId="17" fontId="5" fillId="0" borderId="5" xfId="3" applyNumberFormat="1" applyFont="1" applyBorder="1" applyAlignment="1">
      <alignment horizontal="center"/>
    </xf>
    <xf numFmtId="164" fontId="2" fillId="0" borderId="0" xfId="4" applyFont="1" applyFill="1" applyBorder="1" applyAlignment="1">
      <alignment horizontal="center"/>
    </xf>
    <xf numFmtId="44" fontId="5" fillId="2" borderId="1" xfId="3" applyNumberFormat="1" applyFont="1" applyFill="1" applyBorder="1" applyAlignment="1">
      <alignment horizontal="center"/>
    </xf>
    <xf numFmtId="44" fontId="5" fillId="2" borderId="2" xfId="3" applyNumberFormat="1" applyFont="1" applyFill="1" applyBorder="1" applyAlignment="1">
      <alignment horizontal="center"/>
    </xf>
    <xf numFmtId="44" fontId="5" fillId="2" borderId="3" xfId="3" applyNumberFormat="1" applyFont="1" applyFill="1" applyBorder="1" applyAlignment="1">
      <alignment horizontal="center"/>
    </xf>
  </cellXfs>
  <cellStyles count="7">
    <cellStyle name="Comma 3" xfId="4"/>
    <cellStyle name="Currency" xfId="1" builtinId="4"/>
    <cellStyle name="Currency 2" xfId="6"/>
    <cellStyle name="Normal" xfId="0" builtinId="0"/>
    <cellStyle name="Normal 3" xfId="3"/>
    <cellStyle name="Percent" xfId="2" builtinId="5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daniel.george\Local%20Settings\Temporary%20Internet%20Files\OLK30\Commercial\James\Oldham\Olham%20Cost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EDSFT/Finance/Man%20Accts/Users/Marcela/2023-2024/1.%20Operational%20Services/ISS/Outsourcing/ISS%20Bedfordshire%20contract%202425%20estimate%20calcul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11"/>
      <sheetName val="Contract Price"/>
      <sheetName val="Schedule 10"/>
      <sheetName val="Schedule 9"/>
      <sheetName val="Schedule 8 prt2"/>
      <sheetName val="Schedule 8"/>
      <sheetName val="Redundy"/>
      <sheetName val="AREAS"/>
      <sheetName val="Data"/>
      <sheetName val="BG1"/>
      <sheetName val="BG2"/>
      <sheetName val="BG3"/>
      <sheetName val="BG4"/>
      <sheetName val="BG5"/>
      <sheetName val="BG6"/>
      <sheetName val="SG1"/>
      <sheetName val="SG2"/>
      <sheetName val="SG3"/>
      <sheetName val="SG4"/>
      <sheetName val="SG5"/>
      <sheetName val="SG6"/>
      <sheetName val="Managers"/>
      <sheetName val="Labour Costs"/>
      <sheetName val="Part 1 Costs"/>
      <sheetName val="Part 2 Costs"/>
      <sheetName val="Schedule_112"/>
      <sheetName val="Contract_Price2"/>
      <sheetName val="Schedule_102"/>
      <sheetName val="Schedule_92"/>
      <sheetName val="Schedule_8_prt22"/>
      <sheetName val="Schedule_82"/>
      <sheetName val="Labour_Costs2"/>
      <sheetName val="Part_1_Costs2"/>
      <sheetName val="Part_2_Costs2"/>
      <sheetName val="Schedule_111"/>
      <sheetName val="Contract_Price1"/>
      <sheetName val="Schedule_101"/>
      <sheetName val="Schedule_91"/>
      <sheetName val="Schedule_8_prt21"/>
      <sheetName val="Schedule_81"/>
      <sheetName val="Labour_Costs1"/>
      <sheetName val="Part_1_Costs1"/>
      <sheetName val="Part_2_Costs1"/>
      <sheetName val="Schedule_11"/>
      <sheetName val="Contract_Price"/>
      <sheetName val="Schedule_10"/>
      <sheetName val="Schedule_9"/>
      <sheetName val="Schedule_8_prt2"/>
      <sheetName val="Schedule_8"/>
      <sheetName val="Labour_Costs"/>
      <sheetName val="Part_1_Costs"/>
      <sheetName val="Part_2_Costs"/>
      <sheetName val="Items"/>
      <sheetName val="Schedule_113"/>
      <sheetName val="Contract_Price3"/>
      <sheetName val="Schedule_103"/>
      <sheetName val="Schedule_93"/>
      <sheetName val="Schedule_8_prt23"/>
      <sheetName val="Schedule_83"/>
      <sheetName val="Labour_Costs3"/>
      <sheetName val="Part_1_Costs3"/>
      <sheetName val="Part_2_Costs3"/>
      <sheetName val="Schedule_114"/>
      <sheetName val="Contract_Price4"/>
      <sheetName val="Schedule_104"/>
      <sheetName val="Schedule_94"/>
      <sheetName val="Schedule_8_prt24"/>
      <sheetName val="Schedule_84"/>
      <sheetName val="Labour_Costs4"/>
      <sheetName val="Part_1_Costs4"/>
      <sheetName val="Part_2_Costs4"/>
      <sheetName val="Schedule_115"/>
      <sheetName val="Contract_Price5"/>
      <sheetName val="Schedule_105"/>
      <sheetName val="Schedule_95"/>
      <sheetName val="Schedule_8_prt25"/>
      <sheetName val="Schedule_85"/>
      <sheetName val="Labour_Costs5"/>
      <sheetName val="Part_1_Costs5"/>
      <sheetName val="Part_2_Costs5"/>
      <sheetName val="Schedule_116"/>
      <sheetName val="Contract_Price6"/>
      <sheetName val="Schedule_106"/>
      <sheetName val="Schedule_96"/>
      <sheetName val="Schedule_8_prt26"/>
      <sheetName val="Schedule_86"/>
      <sheetName val="Labour_Costs6"/>
      <sheetName val="Part_1_Costs6"/>
      <sheetName val="Part_2_Costs6"/>
      <sheetName val="Schedule_117"/>
      <sheetName val="Contract_Price7"/>
      <sheetName val="Schedule_107"/>
      <sheetName val="Schedule_97"/>
      <sheetName val="Schedule_8_prt27"/>
      <sheetName val="Schedule_87"/>
      <sheetName val="Labour_Costs7"/>
      <sheetName val="Part_1_Costs7"/>
      <sheetName val="Part_2_Costs7"/>
      <sheetName val="Schedule_118"/>
      <sheetName val="Contract_Price8"/>
      <sheetName val="Schedule_108"/>
      <sheetName val="Schedule_98"/>
      <sheetName val="Schedule_8_prt28"/>
      <sheetName val="Schedule_88"/>
      <sheetName val="Labour_Costs8"/>
      <sheetName val="Part_1_Costs8"/>
      <sheetName val="Part_2_Costs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tion_Alloc_Apr10toMar11"/>
      <sheetName val="Variation_Alloc_Apr11toMar12"/>
      <sheetName val="Variation_Alloc_Apr15 to Mar 16"/>
      <sheetName val="Variation_Alloc_Apr14 to Mar 15"/>
      <sheetName val="Variation_Alloc_Apr13 to Mar 14"/>
      <sheetName val="Variation_Alloc_Apr12 to Mar 13"/>
      <sheetName val="Variation_Alloc_Apr11 to Mar12"/>
      <sheetName val="Data"/>
      <sheetName val="Summaryv2"/>
      <sheetName val="Contract Price AfC"/>
      <sheetName val="2023 AfC workings"/>
      <sheetName val="CPI April 24"/>
      <sheetName val="AfC Pay awards"/>
      <sheetName val="Contract Price before AfC"/>
      <sheetName val="Rates"/>
      <sheetName val="BackBill"/>
      <sheetName val="On off payment"/>
      <sheetName val="HR, Payroll Data"/>
      <sheetName val="Outsourcing"/>
      <sheetName val="Sheet2"/>
      <sheetName val="NHS Pay scale"/>
      <sheetName val="Summary"/>
      <sheetName val="Pricing schedul staffing"/>
      <sheetName val="3. Domestic Services"/>
      <sheetName val="Touched point cleaning 2324"/>
      <sheetName val="Volume_Adj_Waste "/>
      <sheetName val="Variation_Alloc_Apr6toMar8"/>
      <sheetName val="Variation_Alloc_Apr8toMar9"/>
      <sheetName val="Variation_Alloc_Apr9toMar10"/>
      <sheetName val="Cpk_Costs_explained"/>
      <sheetName val="Pension_Reconciliation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">
          <cell r="J14">
            <v>42825.425999999999</v>
          </cell>
        </row>
      </sheetData>
      <sheetData sheetId="8"/>
      <sheetData sheetId="9"/>
      <sheetData sheetId="10">
        <row r="8">
          <cell r="E8">
            <v>4823411.1446420001</v>
          </cell>
        </row>
      </sheetData>
      <sheetData sheetId="11"/>
      <sheetData sheetId="12"/>
      <sheetData sheetId="13"/>
      <sheetData sheetId="14">
        <row r="6">
          <cell r="S6">
            <v>9.2999999999999999E-2</v>
          </cell>
        </row>
        <row r="7">
          <cell r="O7">
            <v>128.9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1:W77"/>
  <sheetViews>
    <sheetView showGridLines="0" tabSelected="1" zoomScale="85" zoomScaleNormal="85" workbookViewId="0">
      <selection activeCell="B24" sqref="B24"/>
    </sheetView>
  </sheetViews>
  <sheetFormatPr defaultColWidth="15.109375" defaultRowHeight="12.75" x14ac:dyDescent="0.2"/>
  <cols>
    <col min="1" max="1" width="6.21875" style="1" bestFit="1" customWidth="1"/>
    <col min="2" max="2" width="30.77734375" style="1" bestFit="1" customWidth="1"/>
    <col min="3" max="14" width="15.109375" style="1" hidden="1" customWidth="1"/>
    <col min="15" max="15" width="13.6640625" style="1" hidden="1" customWidth="1"/>
    <col min="16" max="16" width="15.109375" style="1" hidden="1" customWidth="1"/>
    <col min="17" max="17" width="6.109375" style="1" hidden="1" customWidth="1"/>
    <col min="18" max="18" width="17.5546875" style="78" hidden="1" customWidth="1"/>
    <col min="19" max="19" width="16.33203125" style="78" hidden="1" customWidth="1"/>
    <col min="20" max="22" width="15.109375" style="1" hidden="1" customWidth="1"/>
    <col min="23" max="16384" width="15.109375" style="1"/>
  </cols>
  <sheetData>
    <row r="1" spans="1:23" ht="15.75" x14ac:dyDescent="0.2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23" ht="16.5" thickBot="1" x14ac:dyDescent="0.3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23" ht="13.5" customHeight="1" thickBot="1" x14ac:dyDescent="0.25">
      <c r="B3" s="97" t="s">
        <v>1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9"/>
      <c r="S3" s="81">
        <v>0.04</v>
      </c>
      <c r="T3" s="81">
        <v>0.04</v>
      </c>
      <c r="U3" s="81">
        <v>0.04</v>
      </c>
      <c r="V3" s="81"/>
    </row>
    <row r="4" spans="1:23" ht="13.5" customHeight="1" thickBot="1" x14ac:dyDescent="0.25">
      <c r="G4" s="4"/>
      <c r="H4" s="4"/>
      <c r="I4" s="4"/>
    </row>
    <row r="5" spans="1:23" ht="29.25" customHeight="1" x14ac:dyDescent="0.2">
      <c r="B5" s="5"/>
      <c r="C5" s="91" t="s">
        <v>2</v>
      </c>
      <c r="D5" s="91"/>
      <c r="E5" s="91" t="s">
        <v>41</v>
      </c>
      <c r="F5" s="91"/>
      <c r="G5" s="95">
        <v>44287</v>
      </c>
      <c r="H5" s="95"/>
      <c r="I5" s="95">
        <v>44652</v>
      </c>
      <c r="J5" s="95"/>
      <c r="K5" s="95">
        <v>45017</v>
      </c>
      <c r="L5" s="95"/>
      <c r="M5" s="95">
        <v>45383</v>
      </c>
      <c r="N5" s="95"/>
      <c r="O5" s="87" t="s">
        <v>3</v>
      </c>
      <c r="P5" s="89" t="s">
        <v>4</v>
      </c>
      <c r="R5" s="79" t="s">
        <v>42</v>
      </c>
      <c r="S5" s="77">
        <v>45748</v>
      </c>
      <c r="T5" s="77">
        <v>46113</v>
      </c>
      <c r="U5" s="77">
        <v>46478</v>
      </c>
      <c r="V5" s="77" t="s">
        <v>43</v>
      </c>
      <c r="W5" s="82" t="s">
        <v>44</v>
      </c>
    </row>
    <row r="6" spans="1:23" ht="13.5" customHeight="1" x14ac:dyDescent="0.2">
      <c r="B6" s="6"/>
      <c r="C6" s="7" t="s">
        <v>5</v>
      </c>
      <c r="D6" s="7" t="s">
        <v>6</v>
      </c>
      <c r="E6" s="7"/>
      <c r="F6" s="7"/>
      <c r="G6" s="8" t="s">
        <v>7</v>
      </c>
      <c r="H6" s="7" t="s">
        <v>6</v>
      </c>
      <c r="I6" s="8" t="s">
        <v>7</v>
      </c>
      <c r="J6" s="7" t="s">
        <v>6</v>
      </c>
      <c r="K6" s="8" t="s">
        <v>7</v>
      </c>
      <c r="L6" s="7" t="s">
        <v>6</v>
      </c>
      <c r="M6" s="8" t="s">
        <v>7</v>
      </c>
      <c r="N6" s="7" t="s">
        <v>6</v>
      </c>
      <c r="O6" s="88"/>
      <c r="P6" s="90"/>
    </row>
    <row r="7" spans="1:23" ht="13.5" customHeight="1" x14ac:dyDescent="0.2">
      <c r="B7" s="9" t="s">
        <v>8</v>
      </c>
      <c r="C7" s="10">
        <v>2092562.4</v>
      </c>
      <c r="D7" s="11">
        <v>4286541</v>
      </c>
      <c r="E7" s="69">
        <v>871900.99999999988</v>
      </c>
      <c r="F7" s="69">
        <v>1786058.75</v>
      </c>
      <c r="G7" s="12">
        <v>2102143.7296703295</v>
      </c>
      <c r="H7" s="11">
        <v>4415137.2300000004</v>
      </c>
      <c r="I7" s="12">
        <v>2243947.4087912086</v>
      </c>
      <c r="J7" s="11">
        <v>4823411.1446420001</v>
      </c>
      <c r="K7" s="12">
        <v>2470066.789010989</v>
      </c>
      <c r="L7" s="11">
        <v>5312544.4507200504</v>
      </c>
      <c r="M7" s="12">
        <v>2548633.692307692</v>
      </c>
      <c r="N7" s="13">
        <v>5455983.1508894917</v>
      </c>
      <c r="O7" s="12">
        <v>68171.568577713653</v>
      </c>
      <c r="P7" s="14">
        <v>0</v>
      </c>
      <c r="Q7" s="4"/>
      <c r="R7" s="78">
        <f>SUM(E7:Q7)</f>
        <v>32097998.914609477</v>
      </c>
      <c r="S7" s="78">
        <f>SUM(M7+N7)*1.04</f>
        <v>8324801.5169250714</v>
      </c>
      <c r="T7" s="78">
        <f>S7*1.04</f>
        <v>8657793.5776020754</v>
      </c>
      <c r="U7" s="78">
        <f>T7*1.04</f>
        <v>9004105.3207061589</v>
      </c>
      <c r="V7" s="78">
        <f>(U7/12)*7</f>
        <v>5252394.7704119254</v>
      </c>
      <c r="W7" s="78">
        <f>SUM(R7:T7)+V7</f>
        <v>54332988.779548548</v>
      </c>
    </row>
    <row r="8" spans="1:23" s="17" customFormat="1" ht="13.5" customHeight="1" x14ac:dyDescent="0.2">
      <c r="A8" s="17" t="s">
        <v>9</v>
      </c>
      <c r="B8" s="18" t="s">
        <v>10</v>
      </c>
      <c r="C8" s="19">
        <v>130639.24799999999</v>
      </c>
      <c r="D8" s="19">
        <v>0</v>
      </c>
      <c r="E8" s="71">
        <v>54433.02</v>
      </c>
      <c r="F8" s="71">
        <v>0</v>
      </c>
      <c r="G8" s="19">
        <v>131237.41305494503</v>
      </c>
      <c r="H8" s="19">
        <v>0</v>
      </c>
      <c r="I8" s="19">
        <v>140090.25586813185</v>
      </c>
      <c r="J8" s="19">
        <v>0</v>
      </c>
      <c r="K8" s="19">
        <v>154206.95116483513</v>
      </c>
      <c r="L8" s="19">
        <v>0</v>
      </c>
      <c r="M8" s="19">
        <v>159111.90461538458</v>
      </c>
      <c r="N8" s="19"/>
      <c r="O8" s="19">
        <v>0</v>
      </c>
      <c r="P8" s="20">
        <v>0</v>
      </c>
      <c r="Q8" s="4"/>
      <c r="R8" s="78">
        <f t="shared" ref="R8:R12" si="0">SUM(E8:Q8)</f>
        <v>639079.54470329662</v>
      </c>
      <c r="S8" s="78">
        <f t="shared" ref="S8:S12" si="1">SUM(M8+N8)*1.04</f>
        <v>165476.38079999998</v>
      </c>
      <c r="T8" s="78">
        <f t="shared" ref="T8:U27" si="2">S8*1.04</f>
        <v>172095.436032</v>
      </c>
      <c r="U8" s="78">
        <f t="shared" si="2"/>
        <v>178979.25347328</v>
      </c>
      <c r="V8" s="78">
        <f t="shared" ref="V8:V27" si="3">(U8/12)*7</f>
        <v>104404.56452608001</v>
      </c>
      <c r="W8" s="78">
        <f t="shared" ref="W8:W12" si="4">SUM(R8:T8)+V8</f>
        <v>1081055.9260613765</v>
      </c>
    </row>
    <row r="9" spans="1:23" ht="13.5" customHeight="1" x14ac:dyDescent="0.2">
      <c r="B9" s="9" t="s">
        <v>12</v>
      </c>
      <c r="C9" s="10">
        <v>59321.64</v>
      </c>
      <c r="D9" s="12">
        <v>0</v>
      </c>
      <c r="E9" s="70">
        <v>24717.350000000002</v>
      </c>
      <c r="F9" s="70">
        <v>0</v>
      </c>
      <c r="G9" s="12">
        <v>59593.259230769232</v>
      </c>
      <c r="H9" s="12">
        <v>0</v>
      </c>
      <c r="I9" s="12">
        <v>63613.223846153844</v>
      </c>
      <c r="J9" s="12">
        <v>0</v>
      </c>
      <c r="K9" s="12">
        <v>70023.437692307692</v>
      </c>
      <c r="L9" s="12">
        <v>0</v>
      </c>
      <c r="M9" s="12">
        <v>72250.715384615381</v>
      </c>
      <c r="N9" s="12"/>
      <c r="O9" s="12">
        <v>0</v>
      </c>
      <c r="P9" s="14">
        <v>0</v>
      </c>
      <c r="Q9" s="4"/>
      <c r="R9" s="78">
        <f t="shared" si="0"/>
        <v>290197.98615384614</v>
      </c>
      <c r="S9" s="78">
        <f t="shared" si="1"/>
        <v>75140.744000000006</v>
      </c>
      <c r="T9" s="78">
        <f t="shared" si="2"/>
        <v>78146.373760000002</v>
      </c>
      <c r="U9" s="78">
        <f t="shared" si="2"/>
        <v>81272.228710399999</v>
      </c>
      <c r="V9" s="78">
        <f t="shared" si="3"/>
        <v>47408.800081066671</v>
      </c>
      <c r="W9" s="78">
        <f t="shared" si="4"/>
        <v>490893.90399491281</v>
      </c>
    </row>
    <row r="10" spans="1:23" ht="13.5" customHeight="1" x14ac:dyDescent="0.2">
      <c r="B10" s="9" t="s">
        <v>13</v>
      </c>
      <c r="C10" s="10">
        <v>1877712.24</v>
      </c>
      <c r="D10" s="11">
        <v>130527</v>
      </c>
      <c r="E10" s="69">
        <v>782380.1</v>
      </c>
      <c r="F10" s="69">
        <v>54386.25</v>
      </c>
      <c r="G10" s="12">
        <v>1886309.8235164834</v>
      </c>
      <c r="H10" s="11">
        <v>134442.81</v>
      </c>
      <c r="I10" s="12">
        <v>2013554.0595604395</v>
      </c>
      <c r="J10" s="11">
        <v>146425.38813000001</v>
      </c>
      <c r="K10" s="12">
        <v>2216457.0305494508</v>
      </c>
      <c r="L10" s="21">
        <v>160401.44764872</v>
      </c>
      <c r="M10" s="12">
        <v>2286957.2153846156</v>
      </c>
      <c r="N10" s="22">
        <v>164732.28673523542</v>
      </c>
      <c r="O10" s="12">
        <v>2206.7370173759159</v>
      </c>
      <c r="P10" s="14">
        <v>0</v>
      </c>
      <c r="Q10" s="4"/>
      <c r="R10" s="78">
        <f t="shared" si="0"/>
        <v>9848253.1485423204</v>
      </c>
      <c r="S10" s="78">
        <f t="shared" si="1"/>
        <v>2549757.082204645</v>
      </c>
      <c r="T10" s="78">
        <f t="shared" si="2"/>
        <v>2651747.365492831</v>
      </c>
      <c r="U10" s="78">
        <f t="shared" si="2"/>
        <v>2757817.2601125445</v>
      </c>
      <c r="V10" s="78">
        <f t="shared" si="3"/>
        <v>1608726.7350656511</v>
      </c>
      <c r="W10" s="78">
        <f t="shared" si="4"/>
        <v>16658484.331305448</v>
      </c>
    </row>
    <row r="11" spans="1:23" ht="13.5" customHeight="1" x14ac:dyDescent="0.2">
      <c r="B11" s="6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4"/>
      <c r="Q11" s="4"/>
      <c r="T11" s="78"/>
      <c r="U11" s="78"/>
      <c r="V11" s="78"/>
      <c r="W11" s="78"/>
    </row>
    <row r="12" spans="1:23" ht="13.5" customHeight="1" x14ac:dyDescent="0.2">
      <c r="B12" s="15" t="s">
        <v>14</v>
      </c>
      <c r="C12" s="25">
        <v>4160235.5279999999</v>
      </c>
      <c r="D12" s="25">
        <v>4417068</v>
      </c>
      <c r="E12" s="72">
        <v>1733431.47</v>
      </c>
      <c r="F12" s="72">
        <v>1840445</v>
      </c>
      <c r="G12" s="25">
        <v>4179284.2254725271</v>
      </c>
      <c r="H12" s="25">
        <v>4549580.04</v>
      </c>
      <c r="I12" s="25">
        <v>4461204.9480659338</v>
      </c>
      <c r="J12" s="25">
        <v>4969836.5327719999</v>
      </c>
      <c r="K12" s="25">
        <v>4910754.2084175833</v>
      </c>
      <c r="L12" s="25">
        <v>5472945.8983687703</v>
      </c>
      <c r="M12" s="25">
        <v>5066953.5276923077</v>
      </c>
      <c r="N12" s="25">
        <v>5620715.4376247274</v>
      </c>
      <c r="O12" s="25">
        <v>70378.305595089565</v>
      </c>
      <c r="P12" s="24"/>
      <c r="Q12" s="4"/>
      <c r="R12" s="78">
        <f t="shared" si="0"/>
        <v>42875529.594008945</v>
      </c>
      <c r="S12" s="78">
        <f t="shared" si="1"/>
        <v>11115175.723929716</v>
      </c>
      <c r="T12" s="78">
        <f t="shared" si="2"/>
        <v>11559782.752886904</v>
      </c>
      <c r="U12" s="78">
        <f t="shared" si="2"/>
        <v>12022174.063002381</v>
      </c>
      <c r="V12" s="78">
        <f t="shared" si="3"/>
        <v>7012934.8700847225</v>
      </c>
      <c r="W12" s="78">
        <f t="shared" si="4"/>
        <v>72563422.940910295</v>
      </c>
    </row>
    <row r="13" spans="1:23" ht="13.5" customHeight="1" x14ac:dyDescent="0.2">
      <c r="B13" s="15"/>
      <c r="C13" s="23"/>
      <c r="D13" s="23"/>
      <c r="E13" s="23"/>
      <c r="F13" s="23"/>
      <c r="G13" s="12"/>
      <c r="H13" s="27"/>
      <c r="I13" s="27"/>
      <c r="J13" s="23"/>
      <c r="K13" s="27"/>
      <c r="L13" s="23"/>
      <c r="M13" s="23"/>
      <c r="N13" s="23"/>
      <c r="O13" s="23"/>
      <c r="P13" s="24"/>
      <c r="Q13" s="4"/>
      <c r="T13" s="78"/>
      <c r="U13" s="78"/>
      <c r="V13" s="78"/>
      <c r="W13" s="78"/>
    </row>
    <row r="14" spans="1:23" ht="13.5" customHeight="1" x14ac:dyDescent="0.2">
      <c r="B14" s="15" t="s">
        <v>15</v>
      </c>
      <c r="C14" s="96">
        <v>8577303.5280000009</v>
      </c>
      <c r="D14" s="96"/>
      <c r="E14" s="73">
        <v>3573876.4700000007</v>
      </c>
      <c r="F14" s="73">
        <v>0</v>
      </c>
      <c r="G14" s="96">
        <v>8728864.2654725276</v>
      </c>
      <c r="H14" s="96"/>
      <c r="I14" s="96">
        <v>9501419.7864330225</v>
      </c>
      <c r="J14" s="96"/>
      <c r="K14" s="96">
        <v>10383700.106786354</v>
      </c>
      <c r="L14" s="96" t="e">
        <v>#VALUE!</v>
      </c>
      <c r="M14" s="96">
        <v>10687668.965317035</v>
      </c>
      <c r="N14" s="96">
        <v>15104736.965317035</v>
      </c>
      <c r="O14" s="28"/>
      <c r="P14" s="29"/>
      <c r="Q14" s="4"/>
      <c r="R14" s="78">
        <f>E14+G14+I14+K14+M14</f>
        <v>42875529.594008937</v>
      </c>
      <c r="S14" s="78">
        <f>M14*1.04</f>
        <v>11115175.723929716</v>
      </c>
      <c r="T14" s="78">
        <f t="shared" si="2"/>
        <v>11559782.752886904</v>
      </c>
      <c r="U14" s="78">
        <f t="shared" si="2"/>
        <v>12022174.063002381</v>
      </c>
      <c r="V14" s="78">
        <f t="shared" si="3"/>
        <v>7012934.8700847225</v>
      </c>
      <c r="W14" s="84">
        <f>SUM(R14:T14)+V14</f>
        <v>72563422.94091028</v>
      </c>
    </row>
    <row r="15" spans="1:23" ht="13.5" customHeight="1" x14ac:dyDescent="0.2">
      <c r="B15" s="15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4"/>
      <c r="Q15" s="4"/>
      <c r="T15" s="78"/>
      <c r="U15" s="78"/>
      <c r="V15" s="78"/>
      <c r="W15" s="78"/>
    </row>
    <row r="16" spans="1:23" ht="13.5" customHeight="1" thickBot="1" x14ac:dyDescent="0.25">
      <c r="G16" s="4"/>
      <c r="I16" s="4"/>
      <c r="T16" s="78"/>
      <c r="U16" s="78"/>
      <c r="V16" s="78"/>
      <c r="W16" s="78"/>
    </row>
    <row r="17" spans="2:23" ht="13.5" customHeight="1" thickBot="1" x14ac:dyDescent="0.25">
      <c r="B17" s="92" t="s">
        <v>16</v>
      </c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4"/>
      <c r="T17" s="78"/>
      <c r="U17" s="78"/>
      <c r="V17" s="78"/>
      <c r="W17" s="78"/>
    </row>
    <row r="18" spans="2:23" ht="13.5" customHeight="1" thickBot="1" x14ac:dyDescent="0.25">
      <c r="T18" s="78"/>
      <c r="U18" s="78"/>
      <c r="V18" s="78"/>
      <c r="W18" s="78"/>
    </row>
    <row r="19" spans="2:23" ht="13.5" customHeight="1" x14ac:dyDescent="0.2">
      <c r="B19" s="5"/>
      <c r="C19" s="91" t="s">
        <v>2</v>
      </c>
      <c r="D19" s="91"/>
      <c r="E19" s="91" t="s">
        <v>41</v>
      </c>
      <c r="F19" s="91"/>
      <c r="G19" s="95">
        <v>44287</v>
      </c>
      <c r="H19" s="95"/>
      <c r="I19" s="95">
        <v>44652</v>
      </c>
      <c r="J19" s="95"/>
      <c r="K19" s="95">
        <v>45017</v>
      </c>
      <c r="L19" s="95"/>
      <c r="M19" s="95">
        <v>45383</v>
      </c>
      <c r="N19" s="95"/>
      <c r="O19" s="87" t="s">
        <v>3</v>
      </c>
      <c r="P19" s="89" t="s">
        <v>4</v>
      </c>
      <c r="T19" s="78"/>
      <c r="U19" s="78"/>
      <c r="V19" s="78"/>
      <c r="W19" s="78"/>
    </row>
    <row r="20" spans="2:23" ht="13.5" customHeight="1" x14ac:dyDescent="0.2">
      <c r="B20" s="6"/>
      <c r="C20" s="7"/>
      <c r="D20" s="7"/>
      <c r="E20" s="7"/>
      <c r="F20" s="7"/>
      <c r="G20" s="8"/>
      <c r="H20" s="7"/>
      <c r="I20" s="8"/>
      <c r="J20" s="7"/>
      <c r="K20" s="7"/>
      <c r="L20" s="7"/>
      <c r="M20" s="7"/>
      <c r="N20" s="7"/>
      <c r="O20" s="88"/>
      <c r="P20" s="90"/>
      <c r="R20" s="83">
        <f t="shared" ref="R20:R26" si="5">E20+G20+I20+K20+M20</f>
        <v>0</v>
      </c>
      <c r="T20" s="78"/>
      <c r="U20" s="78"/>
      <c r="V20" s="78"/>
      <c r="W20" s="78"/>
    </row>
    <row r="21" spans="2:23" ht="13.5" customHeight="1" x14ac:dyDescent="0.2">
      <c r="B21" s="15" t="s">
        <v>17</v>
      </c>
      <c r="C21" s="12">
        <v>515307.39</v>
      </c>
      <c r="D21" s="12"/>
      <c r="E21" s="74">
        <v>214711.41250000001</v>
      </c>
      <c r="F21" s="74">
        <v>0</v>
      </c>
      <c r="G21" s="12">
        <v>530766.61170000001</v>
      </c>
      <c r="H21" s="12"/>
      <c r="I21" s="12">
        <v>580127.90658810001</v>
      </c>
      <c r="J21" s="12"/>
      <c r="K21" s="12">
        <v>640461.20887326251</v>
      </c>
      <c r="L21" s="12">
        <v>53371.767406105209</v>
      </c>
      <c r="M21" s="12">
        <v>0</v>
      </c>
      <c r="N21" s="30">
        <v>0</v>
      </c>
      <c r="O21" s="12">
        <v>7251.5988323512502</v>
      </c>
      <c r="P21" s="16">
        <v>0</v>
      </c>
      <c r="R21" s="83">
        <f>E21+G21+I21+K21+M21</f>
        <v>1966067.1396613624</v>
      </c>
      <c r="S21" s="83"/>
      <c r="T21" s="83"/>
      <c r="U21" s="83"/>
      <c r="V21" s="83"/>
      <c r="W21" s="83">
        <f>SUM(R21:T21)+V21</f>
        <v>1966067.1396613624</v>
      </c>
    </row>
    <row r="22" spans="2:23" ht="13.5" customHeight="1" x14ac:dyDescent="0.2">
      <c r="B22" s="15" t="s">
        <v>18</v>
      </c>
      <c r="C22" s="12">
        <v>35824.85</v>
      </c>
      <c r="D22" s="12"/>
      <c r="E22" s="74">
        <v>14927.020833333334</v>
      </c>
      <c r="F22" s="74">
        <v>0</v>
      </c>
      <c r="G22" s="12">
        <v>36899.595500000003</v>
      </c>
      <c r="H22" s="12"/>
      <c r="I22" s="12">
        <v>40331.257881500002</v>
      </c>
      <c r="J22" s="12"/>
      <c r="K22" s="12">
        <v>44525.708701176009</v>
      </c>
      <c r="L22" s="12">
        <v>3710.4757250980006</v>
      </c>
      <c r="M22" s="12">
        <f>N22*12</f>
        <v>45727.902836107751</v>
      </c>
      <c r="N22" s="12">
        <v>3810.658569675646</v>
      </c>
      <c r="O22" s="12">
        <v>504.14072351875006</v>
      </c>
      <c r="P22" s="16">
        <v>0</v>
      </c>
      <c r="R22" s="83">
        <f>E22+G22+I22+K22+M22</f>
        <v>182411.48575211712</v>
      </c>
      <c r="S22" s="83">
        <f t="shared" ref="S22:S27" si="6">SUM(M22+N22)*1.04</f>
        <v>51520.10386201473</v>
      </c>
      <c r="T22" s="83">
        <f t="shared" si="2"/>
        <v>53580.908016495319</v>
      </c>
      <c r="U22" s="83">
        <f t="shared" si="2"/>
        <v>55724.144337155136</v>
      </c>
      <c r="V22" s="83">
        <f t="shared" si="3"/>
        <v>32505.750863340494</v>
      </c>
      <c r="W22" s="83">
        <f>SUM(R22:T22)+V22</f>
        <v>320018.24849396764</v>
      </c>
    </row>
    <row r="23" spans="2:23" s="35" customFormat="1" ht="13.5" customHeight="1" x14ac:dyDescent="0.2">
      <c r="B23" s="31" t="s">
        <v>19</v>
      </c>
      <c r="C23" s="32"/>
      <c r="D23" s="32"/>
      <c r="E23" s="75">
        <v>0</v>
      </c>
      <c r="F23" s="75">
        <v>0</v>
      </c>
      <c r="G23" s="32"/>
      <c r="H23" s="32"/>
      <c r="I23" s="32"/>
      <c r="J23" s="32"/>
      <c r="K23" s="32"/>
      <c r="L23" s="32"/>
      <c r="M23" s="33">
        <v>396655.12899999996</v>
      </c>
      <c r="O23" s="32"/>
      <c r="P23" s="34"/>
      <c r="R23" s="83">
        <f>E23+G23+I23+K23+M23</f>
        <v>396655.12899999996</v>
      </c>
      <c r="S23" s="83">
        <f t="shared" si="6"/>
        <v>412521.33415999997</v>
      </c>
      <c r="T23" s="83">
        <f t="shared" si="2"/>
        <v>429022.18752639997</v>
      </c>
      <c r="U23" s="83">
        <f t="shared" si="2"/>
        <v>446183.07502745598</v>
      </c>
      <c r="V23" s="83">
        <f t="shared" si="3"/>
        <v>260273.46043268268</v>
      </c>
      <c r="W23" s="83">
        <f t="shared" ref="W23:W27" si="7">SUM(R23:T23)+V23</f>
        <v>1498472.1111190827</v>
      </c>
    </row>
    <row r="24" spans="2:23" ht="13.5" customHeight="1" x14ac:dyDescent="0.2">
      <c r="B24" s="6"/>
      <c r="C24" s="12"/>
      <c r="D24" s="12"/>
      <c r="E24" s="74">
        <v>0</v>
      </c>
      <c r="F24" s="74">
        <v>0</v>
      </c>
      <c r="G24" s="12"/>
      <c r="H24" s="12"/>
      <c r="I24" s="12"/>
      <c r="J24" s="12"/>
      <c r="K24" s="12"/>
      <c r="L24" s="12"/>
      <c r="M24" s="12"/>
      <c r="N24" s="12"/>
      <c r="O24" s="12"/>
      <c r="P24" s="16">
        <v>0</v>
      </c>
      <c r="R24" s="78">
        <f t="shared" si="5"/>
        <v>0</v>
      </c>
      <c r="S24" s="83">
        <f t="shared" si="6"/>
        <v>0</v>
      </c>
      <c r="T24" s="78"/>
      <c r="U24" s="78"/>
      <c r="V24" s="78"/>
      <c r="W24" s="78"/>
    </row>
    <row r="25" spans="2:23" ht="13.5" customHeight="1" x14ac:dyDescent="0.2">
      <c r="B25" s="15" t="s">
        <v>14</v>
      </c>
      <c r="C25" s="25">
        <v>551132.24</v>
      </c>
      <c r="D25" s="25"/>
      <c r="E25" s="76">
        <v>229638.43333333335</v>
      </c>
      <c r="F25" s="76">
        <v>0</v>
      </c>
      <c r="G25" s="25">
        <v>567666.20720000006</v>
      </c>
      <c r="H25" s="25"/>
      <c r="I25" s="25">
        <v>620459.16446959996</v>
      </c>
      <c r="J25" s="25"/>
      <c r="K25" s="25">
        <v>684986.9175744385</v>
      </c>
      <c r="L25" s="25"/>
      <c r="M25" s="25">
        <f>M22+M23</f>
        <v>442383.03183610772</v>
      </c>
      <c r="O25" s="25">
        <v>7755.73955587</v>
      </c>
      <c r="P25" s="26">
        <v>0</v>
      </c>
      <c r="R25" s="78">
        <f>E25+G25+I25+K25+M25</f>
        <v>2545133.7544134795</v>
      </c>
      <c r="S25" s="83">
        <f t="shared" si="6"/>
        <v>460078.35310955206</v>
      </c>
      <c r="T25" s="78">
        <f t="shared" si="2"/>
        <v>478481.48723393417</v>
      </c>
      <c r="U25" s="78">
        <f t="shared" si="2"/>
        <v>497620.74672329152</v>
      </c>
      <c r="V25" s="78">
        <f t="shared" si="3"/>
        <v>290278.76892192004</v>
      </c>
      <c r="W25" s="78">
        <f t="shared" si="7"/>
        <v>3773972.3636788856</v>
      </c>
    </row>
    <row r="26" spans="2:23" ht="13.5" customHeight="1" x14ac:dyDescent="0.2">
      <c r="B26" s="6"/>
      <c r="C26" s="23"/>
      <c r="D26" s="23"/>
      <c r="E26" s="74">
        <v>0</v>
      </c>
      <c r="F26" s="74">
        <v>0</v>
      </c>
      <c r="G26" s="23"/>
      <c r="H26" s="23"/>
      <c r="I26" s="23"/>
      <c r="J26" s="23"/>
      <c r="K26" s="23"/>
      <c r="L26" s="23"/>
      <c r="M26" s="23"/>
      <c r="N26" s="23"/>
      <c r="O26" s="23"/>
      <c r="P26" s="24"/>
      <c r="R26" s="78">
        <f t="shared" si="5"/>
        <v>0</v>
      </c>
      <c r="S26" s="83">
        <f t="shared" si="6"/>
        <v>0</v>
      </c>
      <c r="T26" s="78"/>
      <c r="U26" s="78"/>
      <c r="V26" s="78"/>
      <c r="W26" s="78"/>
    </row>
    <row r="27" spans="2:23" ht="13.5" customHeight="1" x14ac:dyDescent="0.2">
      <c r="B27" s="15" t="s">
        <v>15</v>
      </c>
      <c r="C27" s="12">
        <v>551132.24</v>
      </c>
      <c r="D27" s="23"/>
      <c r="E27" s="74">
        <v>229638.43333333335</v>
      </c>
      <c r="F27" s="74">
        <v>0</v>
      </c>
      <c r="G27" s="12">
        <v>567666.20720000006</v>
      </c>
      <c r="H27" s="12"/>
      <c r="I27" s="12">
        <f>I25</f>
        <v>620459.16446959996</v>
      </c>
      <c r="J27" s="23"/>
      <c r="K27" s="12">
        <v>684986.9175744385</v>
      </c>
      <c r="L27" s="23"/>
      <c r="M27" s="37">
        <f>M25</f>
        <v>442383.03183610772</v>
      </c>
      <c r="O27" s="23"/>
      <c r="P27" s="24"/>
      <c r="R27" s="78">
        <f>E27+G27+I27+K27+M27</f>
        <v>2545133.7544134795</v>
      </c>
      <c r="S27" s="83">
        <f t="shared" si="6"/>
        <v>460078.35310955206</v>
      </c>
      <c r="T27" s="78">
        <f t="shared" si="2"/>
        <v>478481.48723393417</v>
      </c>
      <c r="U27" s="78">
        <f t="shared" si="2"/>
        <v>497620.74672329152</v>
      </c>
      <c r="V27" s="78">
        <f t="shared" si="3"/>
        <v>290278.76892192004</v>
      </c>
      <c r="W27" s="84">
        <f t="shared" si="7"/>
        <v>3773972.3636788856</v>
      </c>
    </row>
    <row r="28" spans="2:23" ht="13.5" customHeight="1" x14ac:dyDescent="0.2">
      <c r="B28" s="15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37"/>
      <c r="O28" s="23"/>
      <c r="P28" s="24"/>
      <c r="T28" s="78"/>
      <c r="U28" s="78"/>
      <c r="V28" s="78"/>
      <c r="W28" s="78"/>
    </row>
    <row r="29" spans="2:23" ht="13.5" customHeight="1" x14ac:dyDescent="0.2"/>
    <row r="30" spans="2:23" ht="13.5" hidden="1" customHeight="1" thickTop="1" x14ac:dyDescent="0.25">
      <c r="B30" s="38" t="s">
        <v>20</v>
      </c>
      <c r="C30" s="39" t="s">
        <v>21</v>
      </c>
      <c r="D30" s="1" t="s">
        <v>22</v>
      </c>
      <c r="H30" s="40"/>
      <c r="I30" s="40"/>
      <c r="J30" s="40"/>
      <c r="K30" s="40"/>
      <c r="L30" s="40"/>
      <c r="M30" s="40"/>
      <c r="N30" s="40"/>
      <c r="O30" s="4">
        <f>O25+O12</f>
        <v>78134.045150959559</v>
      </c>
    </row>
    <row r="31" spans="2:23" ht="13.5" hidden="1" customHeight="1" x14ac:dyDescent="0.25">
      <c r="B31" s="41"/>
      <c r="C31" s="42"/>
      <c r="H31" s="43"/>
      <c r="I31" s="43"/>
      <c r="J31" s="43"/>
      <c r="K31" s="40"/>
      <c r="L31" s="40"/>
      <c r="M31" s="40"/>
      <c r="N31" s="40"/>
    </row>
    <row r="32" spans="2:23" ht="13.5" hidden="1" customHeight="1" x14ac:dyDescent="0.25">
      <c r="B32" s="44">
        <v>44105</v>
      </c>
      <c r="C32" s="45">
        <v>109.2</v>
      </c>
      <c r="H32" s="43"/>
      <c r="I32" s="40"/>
      <c r="J32" s="40"/>
      <c r="K32" s="40"/>
      <c r="L32" s="40"/>
      <c r="M32" s="40"/>
      <c r="N32" s="40"/>
    </row>
    <row r="33" spans="2:23" ht="13.5" hidden="1" customHeight="1" x14ac:dyDescent="0.25">
      <c r="B33" s="44">
        <v>44256</v>
      </c>
      <c r="C33" s="45">
        <v>109.7</v>
      </c>
      <c r="D33" s="46">
        <v>0.03</v>
      </c>
      <c r="E33" s="46"/>
      <c r="F33" s="46"/>
      <c r="G33" s="40"/>
      <c r="H33" s="40"/>
      <c r="I33" s="47"/>
      <c r="J33" s="40"/>
      <c r="K33" s="40"/>
      <c r="L33" s="40"/>
      <c r="M33" s="40"/>
      <c r="N33" s="40"/>
    </row>
    <row r="34" spans="2:23" ht="13.5" hidden="1" customHeight="1" x14ac:dyDescent="0.25">
      <c r="B34" s="44">
        <v>44621</v>
      </c>
      <c r="C34" s="45">
        <v>117.1</v>
      </c>
      <c r="D34" s="36">
        <f>(C34-C33)/C33</f>
        <v>6.7456700091157618E-2</v>
      </c>
      <c r="E34" s="36"/>
      <c r="F34" s="36"/>
      <c r="G34" s="40"/>
      <c r="H34" s="40"/>
      <c r="I34" s="47"/>
      <c r="J34" s="40"/>
      <c r="K34" s="48"/>
      <c r="L34" s="40"/>
      <c r="M34" s="40"/>
      <c r="N34" s="40"/>
      <c r="O34" s="1" t="s">
        <v>23</v>
      </c>
    </row>
    <row r="35" spans="2:23" ht="13.5" hidden="1" customHeight="1" x14ac:dyDescent="0.25">
      <c r="B35" s="44">
        <v>44986</v>
      </c>
      <c r="C35" s="45">
        <f>[2]Rates!O7</f>
        <v>128.9</v>
      </c>
      <c r="D35" s="36">
        <f>(C35-C34)/C34</f>
        <v>0.10076857386848857</v>
      </c>
      <c r="E35" s="36"/>
      <c r="F35" s="36"/>
      <c r="G35" s="40" t="s">
        <v>24</v>
      </c>
      <c r="H35" s="40"/>
      <c r="I35" s="47"/>
      <c r="J35" s="40"/>
      <c r="K35" s="43"/>
      <c r="L35" s="43"/>
      <c r="M35" s="43"/>
      <c r="N35" s="43"/>
    </row>
    <row r="36" spans="2:23" ht="13.5" hidden="1" customHeight="1" thickBot="1" x14ac:dyDescent="0.3">
      <c r="B36" s="49">
        <v>45352</v>
      </c>
      <c r="C36" s="50">
        <v>133</v>
      </c>
      <c r="D36" s="36">
        <f>(C36-C35)/C35</f>
        <v>3.1807602792862641E-2</v>
      </c>
      <c r="E36" s="36"/>
      <c r="F36" s="36"/>
      <c r="G36" s="40"/>
      <c r="H36" s="40"/>
      <c r="I36" s="47"/>
      <c r="J36" s="40"/>
      <c r="K36" s="43"/>
      <c r="L36" s="43"/>
      <c r="M36" s="43"/>
      <c r="N36" s="43"/>
    </row>
    <row r="37" spans="2:23" ht="13.5" hidden="1" customHeight="1" thickTop="1" thickBot="1" x14ac:dyDescent="0.25">
      <c r="D37" s="36">
        <v>0.104</v>
      </c>
      <c r="E37" s="36"/>
      <c r="F37" s="36"/>
      <c r="G37" s="40" t="s">
        <v>25</v>
      </c>
      <c r="H37" s="51"/>
      <c r="I37" s="47"/>
      <c r="J37" s="40"/>
      <c r="K37" s="40"/>
      <c r="L37" s="40"/>
      <c r="M37" s="40"/>
      <c r="N37" s="40"/>
    </row>
    <row r="38" spans="2:23" ht="13.5" hidden="1" customHeight="1" thickTop="1" x14ac:dyDescent="0.25">
      <c r="B38" s="38" t="s">
        <v>26</v>
      </c>
      <c r="C38" s="39" t="s">
        <v>27</v>
      </c>
      <c r="D38" s="52"/>
      <c r="E38" s="52"/>
      <c r="F38" s="52"/>
      <c r="G38" s="40"/>
      <c r="H38" s="40"/>
      <c r="I38" s="47"/>
      <c r="J38" s="40"/>
      <c r="K38" s="40"/>
      <c r="L38" s="40"/>
      <c r="M38" s="40"/>
      <c r="N38" s="40"/>
    </row>
    <row r="39" spans="2:23" ht="13.5" hidden="1" customHeight="1" x14ac:dyDescent="0.25">
      <c r="B39" s="41"/>
      <c r="C39" s="42"/>
      <c r="H39" s="40"/>
      <c r="I39" s="53"/>
      <c r="J39" s="43"/>
      <c r="K39" s="43"/>
      <c r="L39" s="43"/>
      <c r="M39" s="43"/>
      <c r="N39" s="43"/>
      <c r="O39" s="1" t="s">
        <v>28</v>
      </c>
      <c r="P39" s="1">
        <f>I39*12</f>
        <v>0</v>
      </c>
    </row>
    <row r="40" spans="2:23" ht="13.5" hidden="1" customHeight="1" x14ac:dyDescent="0.25">
      <c r="B40" s="44">
        <v>44287</v>
      </c>
      <c r="C40" s="54">
        <v>0.03</v>
      </c>
      <c r="H40" s="40"/>
      <c r="I40" s="47"/>
      <c r="J40" s="40"/>
      <c r="K40" s="40"/>
      <c r="L40" s="40"/>
      <c r="M40" s="40"/>
      <c r="N40" s="40"/>
    </row>
    <row r="41" spans="2:23" ht="13.5" hidden="1" customHeight="1" x14ac:dyDescent="0.25">
      <c r="B41" s="44">
        <v>44652</v>
      </c>
      <c r="C41" s="54">
        <f>[2]Rates!S6</f>
        <v>9.2999999999999999E-2</v>
      </c>
      <c r="H41" s="40"/>
      <c r="I41" s="47"/>
      <c r="J41" s="40"/>
      <c r="K41" s="55"/>
      <c r="L41" s="56"/>
      <c r="M41" s="56"/>
      <c r="N41" s="56"/>
      <c r="O41" s="1" t="s">
        <v>29</v>
      </c>
    </row>
    <row r="42" spans="2:23" ht="15" hidden="1" x14ac:dyDescent="0.25">
      <c r="B42" s="44">
        <v>45017</v>
      </c>
      <c r="C42" s="54">
        <v>7.6999999999999999E-2</v>
      </c>
      <c r="H42" s="40"/>
      <c r="I42" s="47"/>
      <c r="J42" s="43"/>
      <c r="K42" s="40"/>
      <c r="L42" s="40"/>
      <c r="M42" s="40"/>
      <c r="N42" s="40"/>
      <c r="O42" s="57"/>
    </row>
    <row r="43" spans="2:23" ht="15.75" hidden="1" thickBot="1" x14ac:dyDescent="0.3">
      <c r="B43" s="49">
        <v>45383</v>
      </c>
      <c r="C43" s="58"/>
      <c r="H43" s="40"/>
      <c r="I43" s="47"/>
      <c r="J43" s="47"/>
      <c r="K43" s="56"/>
      <c r="L43" s="59"/>
      <c r="M43" s="59"/>
      <c r="N43" s="59"/>
      <c r="O43" s="1" t="s">
        <v>11</v>
      </c>
      <c r="P43" s="60"/>
      <c r="Q43" s="60"/>
      <c r="R43" s="80"/>
      <c r="S43" s="80"/>
    </row>
    <row r="44" spans="2:23" x14ac:dyDescent="0.2">
      <c r="B44" s="85" t="s">
        <v>45</v>
      </c>
      <c r="H44" s="40"/>
      <c r="I44" s="61"/>
      <c r="J44" s="47"/>
      <c r="K44" s="40"/>
      <c r="L44" s="43"/>
      <c r="M44" s="43"/>
      <c r="N44" s="43"/>
      <c r="W44" s="86">
        <f>W14+W27</f>
        <v>76337395.304589167</v>
      </c>
    </row>
    <row r="45" spans="2:23" x14ac:dyDescent="0.2">
      <c r="H45" s="40"/>
      <c r="I45" s="61"/>
      <c r="J45" s="40"/>
      <c r="K45" s="40"/>
      <c r="L45" s="43"/>
      <c r="M45" s="43"/>
      <c r="N45" s="62">
        <v>0.95833333333333337</v>
      </c>
    </row>
    <row r="46" spans="2:23" x14ac:dyDescent="0.2">
      <c r="I46" s="61"/>
      <c r="L46" s="43"/>
      <c r="M46" s="63" t="s">
        <v>28</v>
      </c>
      <c r="N46" s="64">
        <f>-53371.77*12</f>
        <v>-640461.24</v>
      </c>
    </row>
    <row r="47" spans="2:23" x14ac:dyDescent="0.2">
      <c r="N47" s="65"/>
    </row>
    <row r="48" spans="2:23" x14ac:dyDescent="0.2">
      <c r="M48" s="66" t="s">
        <v>30</v>
      </c>
      <c r="N48" s="67">
        <v>218011</v>
      </c>
    </row>
    <row r="49" spans="13:14" x14ac:dyDescent="0.2">
      <c r="M49" s="66" t="s">
        <v>31</v>
      </c>
      <c r="N49" s="67">
        <v>22074</v>
      </c>
    </row>
    <row r="50" spans="13:14" x14ac:dyDescent="0.2">
      <c r="M50" s="66" t="s">
        <v>32</v>
      </c>
      <c r="N50" s="67">
        <v>85664</v>
      </c>
    </row>
    <row r="51" spans="13:14" x14ac:dyDescent="0.2">
      <c r="M51" s="66" t="s">
        <v>33</v>
      </c>
      <c r="N51" s="67">
        <v>60478</v>
      </c>
    </row>
    <row r="52" spans="13:14" x14ac:dyDescent="0.2">
      <c r="M52" s="35"/>
      <c r="N52" s="67">
        <f>SUM(N48:N51)</f>
        <v>386227</v>
      </c>
    </row>
    <row r="53" spans="13:14" x14ac:dyDescent="0.2">
      <c r="N53" s="65"/>
    </row>
    <row r="54" spans="13:14" x14ac:dyDescent="0.2">
      <c r="M54" s="1" t="s">
        <v>34</v>
      </c>
      <c r="N54" s="65">
        <f>N46+N52</f>
        <v>-254234.23999999999</v>
      </c>
    </row>
    <row r="55" spans="13:14" x14ac:dyDescent="0.2">
      <c r="N55" s="65"/>
    </row>
    <row r="56" spans="13:14" x14ac:dyDescent="0.2">
      <c r="N56" s="65"/>
    </row>
    <row r="57" spans="13:14" x14ac:dyDescent="0.2">
      <c r="M57" s="1" t="s">
        <v>35</v>
      </c>
      <c r="N57" s="65">
        <f>N52*2.7%</f>
        <v>10428.129000000001</v>
      </c>
    </row>
    <row r="58" spans="13:14" x14ac:dyDescent="0.2">
      <c r="M58" s="1" t="s">
        <v>36</v>
      </c>
      <c r="N58" s="65">
        <f>N57+N52</f>
        <v>396655.12900000002</v>
      </c>
    </row>
    <row r="59" spans="13:14" x14ac:dyDescent="0.2">
      <c r="N59" s="65"/>
    </row>
    <row r="60" spans="13:14" x14ac:dyDescent="0.2">
      <c r="M60" s="1" t="s">
        <v>37</v>
      </c>
      <c r="N60" s="65"/>
    </row>
    <row r="61" spans="13:14" x14ac:dyDescent="0.2">
      <c r="M61" s="1" t="s">
        <v>38</v>
      </c>
      <c r="N61" s="68"/>
    </row>
    <row r="62" spans="13:14" x14ac:dyDescent="0.2">
      <c r="M62" s="1" t="s">
        <v>39</v>
      </c>
      <c r="N62" s="68"/>
    </row>
    <row r="63" spans="13:14" x14ac:dyDescent="0.2">
      <c r="M63" s="1" t="s">
        <v>40</v>
      </c>
      <c r="N63" s="68">
        <f>[2]Data!J14</f>
        <v>42825.425999999999</v>
      </c>
    </row>
    <row r="64" spans="13:14" x14ac:dyDescent="0.2">
      <c r="N64" s="68"/>
    </row>
    <row r="65" spans="14:14" x14ac:dyDescent="0.2">
      <c r="N65" s="68"/>
    </row>
    <row r="66" spans="14:14" x14ac:dyDescent="0.2">
      <c r="N66" s="68"/>
    </row>
    <row r="67" spans="14:14" x14ac:dyDescent="0.2">
      <c r="N67" s="68"/>
    </row>
    <row r="68" spans="14:14" x14ac:dyDescent="0.2">
      <c r="N68" s="68"/>
    </row>
    <row r="69" spans="14:14" x14ac:dyDescent="0.2">
      <c r="N69" s="68"/>
    </row>
    <row r="70" spans="14:14" x14ac:dyDescent="0.2">
      <c r="N70" s="68"/>
    </row>
    <row r="71" spans="14:14" x14ac:dyDescent="0.2">
      <c r="N71" s="68"/>
    </row>
    <row r="72" spans="14:14" x14ac:dyDescent="0.2">
      <c r="N72" s="68"/>
    </row>
    <row r="73" spans="14:14" x14ac:dyDescent="0.2">
      <c r="N73" s="68"/>
    </row>
    <row r="74" spans="14:14" x14ac:dyDescent="0.2">
      <c r="N74" s="68"/>
    </row>
    <row r="75" spans="14:14" x14ac:dyDescent="0.2">
      <c r="N75" s="68"/>
    </row>
    <row r="76" spans="14:14" x14ac:dyDescent="0.2">
      <c r="N76" s="68"/>
    </row>
    <row r="77" spans="14:14" x14ac:dyDescent="0.2">
      <c r="N77" s="68"/>
    </row>
  </sheetData>
  <mergeCells count="23">
    <mergeCell ref="B3:P3"/>
    <mergeCell ref="C5:D5"/>
    <mergeCell ref="G5:H5"/>
    <mergeCell ref="I5:J5"/>
    <mergeCell ref="K5:L5"/>
    <mergeCell ref="M5:N5"/>
    <mergeCell ref="O5:O6"/>
    <mergeCell ref="P5:P6"/>
    <mergeCell ref="O19:O20"/>
    <mergeCell ref="P19:P20"/>
    <mergeCell ref="E5:F5"/>
    <mergeCell ref="E19:F19"/>
    <mergeCell ref="B17:P17"/>
    <mergeCell ref="C19:D19"/>
    <mergeCell ref="G19:H19"/>
    <mergeCell ref="I19:J19"/>
    <mergeCell ref="K19:L19"/>
    <mergeCell ref="M19:N19"/>
    <mergeCell ref="C14:D14"/>
    <mergeCell ref="G14:H14"/>
    <mergeCell ref="I14:J14"/>
    <mergeCell ref="K14:L14"/>
    <mergeCell ref="M14:N14"/>
  </mergeCells>
  <printOptions horizontalCentered="1" verticalCentered="1"/>
  <pageMargins left="0.74803149606299213" right="0.74803149606299213" top="0.98425196850393704" bottom="0.98425196850393704" header="0.511811023622047" footer="0.511811023622047"/>
  <pageSetup paperSize="9" scale="93" fitToWidth="0" fitToHeight="0" orientation="landscape" r:id="rId1"/>
  <headerFooter alignWithMargins="0">
    <oddFooter>&amp;R&amp;D&amp;L&amp;"Calibri,Regular"&amp;08&amp;KA5A5A5ISS Classification -&amp;K000000 &amp;KC00000Restricted - Internal</oddFooter>
    <evenFooter>&amp;L&amp;"Calibri,Regular"&amp;08&amp;KA5A5A5ISS Classification -&amp;K000000 &amp;KC00000Restricted - Internal</evenFooter>
    <firstFooter>&amp;L&amp;"Calibri,Regular"&amp;08&amp;KA5A5A5ISS Classification -&amp;K000000 &amp;KC00000Restricted - Internal</first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Contract Price AfC</vt:lpstr>
      <vt:lpstr>'Contract Price AfC'!Print_Area</vt:lpstr>
    </vt:vector>
  </TitlesOfParts>
  <Company>Bedford Hospital NHS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Petrasova</dc:creator>
  <cp:lastModifiedBy>Jay McCutcheon</cp:lastModifiedBy>
  <dcterms:created xsi:type="dcterms:W3CDTF">2024-12-10T11:36:07Z</dcterms:created>
  <dcterms:modified xsi:type="dcterms:W3CDTF">2024-12-10T12:26:08Z</dcterms:modified>
</cp:coreProperties>
</file>