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hare\Freedom of Information\Requests\2024\December\"/>
    </mc:Choice>
  </mc:AlternateContent>
  <bookViews>
    <workbookView xWindow="-120" yWindow="-120" windowWidth="29040" windowHeight="15720" firstSheet="1" activeTab="1"/>
  </bookViews>
  <sheets>
    <sheet name="By month" sheetId="2" state="hidden" r:id="rId1"/>
    <sheet name="By quarter" sheetId="3" r:id="rId2"/>
  </sheets>
  <definedNames>
    <definedName name="_xlnm._FilterDatabase" localSheetId="0" hidden="1">'By month'!$A$3:$M$29</definedName>
    <definedName name="_xlnm.Print_Area" localSheetId="0">'By month'!$A$1:$M$32</definedName>
    <definedName name="_xlnm.Print_Area" localSheetId="1">'By quarter'!$A$10:$P$35</definedName>
    <definedName name="Z_05F31C55_5A63_4185_94EE_3B86EBC7BC06_.wvu.Cols" localSheetId="1" hidden="1">'By quarter'!$B:$B</definedName>
    <definedName name="Z_05F31C55_5A63_4185_94EE_3B86EBC7BC06_.wvu.FilterData" localSheetId="0" hidden="1">'By month'!$A$3:$M$29</definedName>
    <definedName name="Z_05F31C55_5A63_4185_94EE_3B86EBC7BC06_.wvu.PrintArea" localSheetId="0" hidden="1">'By month'!$A$1:$M$32</definedName>
    <definedName name="Z_05F31C55_5A63_4185_94EE_3B86EBC7BC06_.wvu.PrintArea" localSheetId="1" hidden="1">'By quarter'!$A$10:$P$35</definedName>
    <definedName name="Z_05F31C55_5A63_4185_94EE_3B86EBC7BC06_.wvu.Rows" localSheetId="0" hidden="1">'By month'!$25:$25,'By month'!$27:$27</definedName>
    <definedName name="Z_264D8B55_7530_4EF4_A821_1B0295DCB6D5_.wvu.FilterData" localSheetId="0" hidden="1">'By month'!$A$3:$M$29</definedName>
    <definedName name="Z_264D8B55_7530_4EF4_A821_1B0295DCB6D5_.wvu.PrintArea" localSheetId="0" hidden="1">'By month'!$A$1:$M$32</definedName>
    <definedName name="Z_2AD1B604_43C4_4884_A448_D473F1C069AE_.wvu.FilterData" localSheetId="0" hidden="1">'By month'!$A$3:$M$29</definedName>
    <definedName name="Z_2AD1B604_43C4_4884_A448_D473F1C069AE_.wvu.PrintArea" localSheetId="0" hidden="1">'By month'!$A$1:$M$32</definedName>
    <definedName name="Z_2AD1B604_43C4_4884_A448_D473F1C069AE_.wvu.Rows" localSheetId="0" hidden="1">'By month'!$25:$25</definedName>
    <definedName name="Z_36A56936_6BD8_48DB_9972_30EA71351694_.wvu.FilterData" localSheetId="0" hidden="1">'By month'!$A$3:$M$29</definedName>
    <definedName name="Z_36A56936_6BD8_48DB_9972_30EA71351694_.wvu.PrintArea" localSheetId="0" hidden="1">'By month'!$A$1:$M$32</definedName>
    <definedName name="Z_36A56936_6BD8_48DB_9972_30EA71351694_.wvu.Rows" localSheetId="0" hidden="1">'By month'!$25:$25</definedName>
    <definedName name="Z_655C34CC_44B1_4759_8098_B3141745838A_.wvu.FilterData" localSheetId="0" hidden="1">'By month'!$A$3:$M$29</definedName>
    <definedName name="Z_655C34CC_44B1_4759_8098_B3141745838A_.wvu.PrintArea" localSheetId="0" hidden="1">'By month'!$A$1:$M$32</definedName>
    <definedName name="Z_65FC1381_7BEE_4207_A3DC_885FAE29C7D3_.wvu.FilterData" localSheetId="0" hidden="1">'By month'!$A$3:$M$29</definedName>
    <definedName name="Z_7965B42C_9731_4CCD_A2C8_C854AA475CF1_.wvu.FilterData" localSheetId="0" hidden="1">'By month'!$A$3:$M$29</definedName>
    <definedName name="Z_7965B42C_9731_4CCD_A2C8_C854AA475CF1_.wvu.PrintArea" localSheetId="0" hidden="1">'By month'!$A$1:$M$32</definedName>
    <definedName name="Z_7965B42C_9731_4CCD_A2C8_C854AA475CF1_.wvu.Rows" localSheetId="0" hidden="1">'By month'!$25:$25</definedName>
    <definedName name="Z_7EB3D213_9298_4B62_AE0C_1089F6E8DF3E_.wvu.Cols" localSheetId="1" hidden="1">'By quarter'!$B:$B</definedName>
    <definedName name="Z_7EB3D213_9298_4B62_AE0C_1089F6E8DF3E_.wvu.FilterData" localSheetId="0" hidden="1">'By month'!$A$3:$M$29</definedName>
    <definedName name="Z_7EB3D213_9298_4B62_AE0C_1089F6E8DF3E_.wvu.PrintArea" localSheetId="0" hidden="1">'By month'!$A$1:$M$32</definedName>
    <definedName name="Z_7EB3D213_9298_4B62_AE0C_1089F6E8DF3E_.wvu.PrintArea" localSheetId="1" hidden="1">'By quarter'!$A$10:$P$35</definedName>
    <definedName name="Z_7EB3D213_9298_4B62_AE0C_1089F6E8DF3E_.wvu.Rows" localSheetId="0" hidden="1">'By month'!$25:$25,'By month'!$27:$27</definedName>
    <definedName name="Z_7EB3D213_9298_4B62_AE0C_1089F6E8DF3E_.wvu.Rows" localSheetId="1" hidden="1">'By quarter'!#REF!,'By quarter'!#REF!</definedName>
    <definedName name="Z_D9EC4BC1_BE33_4151_9050_6DA46362DD72_.wvu.FilterData" localSheetId="0" hidden="1">'By month'!$A$3:$M$29</definedName>
    <definedName name="Z_D9EC4BC1_BE33_4151_9050_6DA46362DD72_.wvu.PrintArea" localSheetId="0" hidden="1">'By month'!$A$1:$M$32</definedName>
    <definedName name="Z_D9EC4BC1_BE33_4151_9050_6DA46362DD72_.wvu.PrintArea" localSheetId="1" hidden="1">'By quarter'!$A$10:$P$35</definedName>
    <definedName name="Z_D9EC4BC1_BE33_4151_9050_6DA46362DD72_.wvu.Rows" localSheetId="0" hidden="1">'By month'!$25:$25,'By month'!$27:$27</definedName>
    <definedName name="Z_D9EC4BC1_BE33_4151_9050_6DA46362DD72_.wvu.Rows" localSheetId="1" hidden="1">'By quarter'!#REF!,'By quarter'!#REF!</definedName>
    <definedName name="Z_F2C32F80_FB90_4698_B60A_BCB68D8E7FC5_.wvu.FilterData" localSheetId="0" hidden="1">'By month'!$A$3:$M$29</definedName>
    <definedName name="Z_F2C32F80_FB90_4698_B60A_BCB68D8E7FC5_.wvu.PrintArea" localSheetId="0" hidden="1">'By month'!$A$1:$M$32</definedName>
  </definedNames>
  <calcPr calcId="162913"/>
  <customWorkbookViews>
    <customWorkbookView name="Helen Mulhern-Wilson - Personal View" guid="{05F31C55-5A63-4185-94EE-3B86EBC7BC06}" mergeInterval="0" personalView="1" maximized="1" xWindow="-8" yWindow="-8" windowWidth="1936" windowHeight="1048" activeSheetId="3"/>
    <customWorkbookView name="Campbell Tina - Personal View" guid="{D9EC4BC1-BE33-4151-9050-6DA46362DD72}" mergeInterval="0" personalView="1" maximized="1" xWindow="-1928" yWindow="-8" windowWidth="1936" windowHeight="1048" activeSheetId="3"/>
    <customWorkbookView name="Goulding Olivia - Personal View" guid="{F2C32F80-FB90-4698-B60A-BCB68D8E7FC5}" mergeInterval="0" personalView="1" maximized="1" xWindow="1912" yWindow="-10" windowWidth="1936" windowHeight="1048" activeSheetId="2"/>
    <customWorkbookView name="Dutt Spriha - Personal View" guid="{264D8B55-7530-4EF4-A821-1B0295DCB6D5}" mergeInterval="0" personalView="1" maximized="1" xWindow="-9" yWindow="-9" windowWidth="1938" windowHeight="1048" activeSheetId="2"/>
    <customWorkbookView name="Shah Ricky (RC9) Luton &amp; Dunstable Hospital TR - Personal View" guid="{655C34CC-44B1-4759-8098-B3141745838A}" mergeInterval="0" personalView="1" maximized="1" xWindow="-2409" yWindow="-5" windowWidth="2418" windowHeight="1318" activeSheetId="2"/>
    <customWorkbookView name="Odunayo Basorun - Personal View" guid="{36A56936-6BD8-48DB-9972-30EA71351694}" mergeInterval="0" personalView="1" maximized="1" xWindow="-8" yWindow="-8" windowWidth="1936" windowHeight="1056" activeSheetId="2"/>
    <customWorkbookView name="Nerina Hall - Personal View" guid="{2AD1B604-43C4-4884-A448-D473F1C069AE}" mergeInterval="0" personalView="1" maximized="1" xWindow="-8" yWindow="-8" windowWidth="1936" windowHeight="1048" activeSheetId="2"/>
    <customWorkbookView name="Libane Amira - Personal View" guid="{7965B42C-9731-4CCD-A2C8-C854AA475CF1}" mergeInterval="0" personalView="1" maximized="1" xWindow="-1928" yWindow="-8" windowWidth="1936" windowHeight="1056" activeSheetId="2"/>
    <customWorkbookView name="Balbach Jonathan - Personal View" guid="{7EB3D213-9298-4B62-AE0C-1089F6E8DF3E}" mergeInterval="0" personalView="1" maximized="1" xWindow="-8" yWindow="-8" windowWidth="1936" windowHeight="1048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H13" i="3"/>
  <c r="G14" i="3"/>
  <c r="H14" i="3"/>
  <c r="G15" i="3"/>
  <c r="H15" i="3"/>
  <c r="E16" i="3"/>
  <c r="F16" i="3"/>
  <c r="G17" i="3"/>
  <c r="H17" i="3"/>
  <c r="G18" i="3"/>
  <c r="H18" i="3"/>
  <c r="E19" i="3"/>
  <c r="F19" i="3"/>
  <c r="F20" i="3"/>
  <c r="F34" i="3" s="1"/>
  <c r="G20" i="3"/>
  <c r="H20" i="3"/>
  <c r="E21" i="3"/>
  <c r="E34" i="3" s="1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F35" i="3" l="1"/>
  <c r="H34" i="3"/>
  <c r="G21" i="3"/>
  <c r="G34" i="3" s="1"/>
  <c r="H16" i="3"/>
  <c r="G16" i="3"/>
  <c r="H19" i="3"/>
  <c r="G19" i="3"/>
  <c r="E35" i="3"/>
  <c r="I29" i="3"/>
  <c r="J29" i="3" s="1"/>
  <c r="K29" i="3" s="1"/>
  <c r="G35" i="3" l="1"/>
  <c r="H35" i="3"/>
  <c r="I33" i="3"/>
  <c r="I32" i="3"/>
  <c r="I31" i="3"/>
  <c r="I30" i="3"/>
  <c r="I28" i="3"/>
  <c r="I27" i="3"/>
  <c r="I26" i="3"/>
  <c r="I25" i="3"/>
  <c r="I24" i="3"/>
  <c r="I23" i="3"/>
  <c r="I22" i="3"/>
  <c r="I21" i="3"/>
  <c r="I20" i="3"/>
  <c r="I18" i="3"/>
  <c r="I17" i="3"/>
  <c r="I15" i="3"/>
  <c r="I14" i="3"/>
  <c r="I13" i="3"/>
  <c r="J15" i="3" l="1"/>
  <c r="K15" i="3" s="1"/>
  <c r="J22" i="3"/>
  <c r="K22" i="3" s="1"/>
  <c r="J28" i="3"/>
  <c r="K28" i="3" s="1"/>
  <c r="J23" i="3"/>
  <c r="K23" i="3" s="1"/>
  <c r="J25" i="3"/>
  <c r="K25" i="3" s="1"/>
  <c r="J14" i="3"/>
  <c r="K14" i="3" s="1"/>
  <c r="J24" i="3"/>
  <c r="K24" i="3" s="1"/>
  <c r="J26" i="3"/>
  <c r="K26" i="3" s="1"/>
  <c r="J18" i="3"/>
  <c r="K18" i="3" s="1"/>
  <c r="J33" i="3"/>
  <c r="K33" i="3" s="1"/>
  <c r="J30" i="3"/>
  <c r="K30" i="3" s="1"/>
  <c r="I16" i="3"/>
  <c r="I19" i="3"/>
  <c r="J13" i="3"/>
  <c r="K13" i="3" s="1"/>
  <c r="J21" i="3"/>
  <c r="K21" i="3" s="1"/>
  <c r="J31" i="3"/>
  <c r="K31" i="3" s="1"/>
  <c r="J32" i="3"/>
  <c r="K32" i="3" s="1"/>
  <c r="J17" i="3"/>
  <c r="K17" i="3" s="1"/>
  <c r="J20" i="3"/>
  <c r="I34" i="3"/>
  <c r="Q9" i="2"/>
  <c r="Q31" i="2" s="1"/>
  <c r="Q12" i="2"/>
  <c r="Q29" i="2"/>
  <c r="K19" i="3" l="1"/>
  <c r="K16" i="3"/>
  <c r="K20" i="3"/>
  <c r="J27" i="3"/>
  <c r="K27" i="3" s="1"/>
  <c r="I35" i="3"/>
  <c r="J16" i="3"/>
  <c r="J19" i="3"/>
  <c r="K34" i="3" l="1"/>
  <c r="K35" i="3" s="1"/>
  <c r="J34" i="3"/>
  <c r="J35" i="3" s="1"/>
  <c r="K16" i="2"/>
  <c r="L16" i="2" s="1"/>
  <c r="O16" i="2" s="1"/>
  <c r="K15" i="2"/>
  <c r="L15" i="2" s="1"/>
  <c r="O15" i="2" s="1"/>
  <c r="J9" i="2"/>
  <c r="K9" i="2"/>
  <c r="K12" i="2"/>
  <c r="J12" i="2"/>
  <c r="O23" i="2"/>
  <c r="O22" i="2"/>
  <c r="K13" i="2"/>
  <c r="J13" i="2"/>
  <c r="J29" i="2" s="1"/>
  <c r="L28" i="2"/>
  <c r="O28" i="2" s="1"/>
  <c r="L27" i="2"/>
  <c r="O27" i="2" s="1"/>
  <c r="L26" i="2"/>
  <c r="O26" i="2" s="1"/>
  <c r="L25" i="2"/>
  <c r="O25" i="2" s="1"/>
  <c r="L24" i="2"/>
  <c r="O24" i="2" s="1"/>
  <c r="L23" i="2"/>
  <c r="L22" i="2"/>
  <c r="L21" i="2"/>
  <c r="O21" i="2" s="1"/>
  <c r="L20" i="2"/>
  <c r="O20" i="2" s="1"/>
  <c r="L19" i="2"/>
  <c r="O19" i="2" s="1"/>
  <c r="L18" i="2"/>
  <c r="L17" i="2"/>
  <c r="O17" i="2" s="1"/>
  <c r="L14" i="2"/>
  <c r="O14" i="2" s="1"/>
  <c r="L11" i="2"/>
  <c r="O11" i="2" s="1"/>
  <c r="L10" i="2"/>
  <c r="L8" i="2"/>
  <c r="O8" i="2" s="1"/>
  <c r="L7" i="2"/>
  <c r="O7" i="2" s="1"/>
  <c r="L6" i="2"/>
  <c r="O6" i="2" s="1"/>
  <c r="L5" i="2"/>
  <c r="O5" i="2" s="1"/>
  <c r="L4" i="2"/>
  <c r="O4" i="2" s="1"/>
  <c r="G3" i="2"/>
  <c r="H3" i="2" s="1"/>
  <c r="I3" i="2" s="1"/>
  <c r="J3" i="2" s="1"/>
  <c r="K3" i="2" s="1"/>
  <c r="N18" i="2"/>
  <c r="I13" i="2"/>
  <c r="H13" i="2"/>
  <c r="G13" i="2"/>
  <c r="F13" i="2"/>
  <c r="K29" i="2" l="1"/>
  <c r="K31" i="2" s="1"/>
  <c r="J31" i="2"/>
  <c r="L13" i="2"/>
  <c r="O13" i="2" s="1"/>
  <c r="I9" i="2"/>
  <c r="I12" i="2"/>
  <c r="I29" i="2"/>
  <c r="O10" i="2"/>
  <c r="O12" i="2" l="1"/>
  <c r="O9" i="2"/>
  <c r="I31" i="2"/>
  <c r="N9" i="2"/>
  <c r="H9" i="2"/>
  <c r="G9" i="2"/>
  <c r="F9" i="2"/>
  <c r="H29" i="2"/>
  <c r="H12" i="2"/>
  <c r="L9" i="2" l="1"/>
  <c r="H31" i="2"/>
  <c r="N17" i="2"/>
  <c r="G21" i="2"/>
  <c r="F21" i="2"/>
  <c r="G20" i="2"/>
  <c r="F20" i="2"/>
  <c r="O29" i="2" s="1"/>
  <c r="O31" i="2" s="1"/>
  <c r="G29" i="2" l="1"/>
  <c r="F29" i="2"/>
  <c r="N29" i="2" l="1"/>
  <c r="N12" i="2"/>
  <c r="N31" i="2" l="1"/>
  <c r="L29" i="2" l="1"/>
  <c r="G12" i="2"/>
  <c r="F12" i="2"/>
  <c r="L12" i="2" l="1"/>
  <c r="F31" i="2"/>
  <c r="G31" i="2"/>
  <c r="L31" i="2" l="1"/>
</calcChain>
</file>

<file path=xl/comments1.xml><?xml version="1.0" encoding="utf-8"?>
<comments xmlns="http://schemas.openxmlformats.org/spreadsheetml/2006/main">
  <authors>
    <author>Goulding Olivia</author>
  </authors>
  <commentList>
    <comment ref="O10" authorId="0" shapeId="0">
      <text>
        <r>
          <rPr>
            <b/>
            <sz val="9"/>
            <color indexed="81"/>
            <rFont val="Tahoma"/>
            <family val="2"/>
          </rPr>
          <t>Goulding Olivia:</t>
        </r>
        <r>
          <rPr>
            <sz val="9"/>
            <color indexed="81"/>
            <rFont val="Tahoma"/>
            <family val="2"/>
          </rPr>
          <t xml:space="preserve">
Have remove pro-rata calc as this service ended 30th June
</t>
        </r>
      </text>
    </comment>
  </commentList>
</comments>
</file>

<file path=xl/sharedStrings.xml><?xml version="1.0" encoding="utf-8"?>
<sst xmlns="http://schemas.openxmlformats.org/spreadsheetml/2006/main" count="162" uniqueCount="102">
  <si>
    <t>Supplier name</t>
  </si>
  <si>
    <t>Service Provided</t>
  </si>
  <si>
    <t>Spire</t>
  </si>
  <si>
    <t>Remedy</t>
  </si>
  <si>
    <t>Functional Gut</t>
  </si>
  <si>
    <t>External clinics - Oesophageal physiology</t>
  </si>
  <si>
    <t>Medica</t>
  </si>
  <si>
    <t>Inhealth Reporting Ltd</t>
  </si>
  <si>
    <t>Provision of staff to perform endoscopy service on site at Bedford</t>
  </si>
  <si>
    <t>OSD Healthcare</t>
  </si>
  <si>
    <t>Diagnostic Healthcare Ltd</t>
  </si>
  <si>
    <t>Offsite provision of pain injections</t>
  </si>
  <si>
    <t>Offsite general surgery capacity - primarily gallbladder removals</t>
  </si>
  <si>
    <t>Tigga Smile</t>
  </si>
  <si>
    <t>Offsite dentistry work</t>
  </si>
  <si>
    <t>Outsourced reporting for plain film studies</t>
  </si>
  <si>
    <t>Ultrasound Clinic</t>
  </si>
  <si>
    <t>Onsite provision of Ultrasound scanning &amp; reporting</t>
  </si>
  <si>
    <t>SpaMedica</t>
  </si>
  <si>
    <t>Offsite Cataract service</t>
  </si>
  <si>
    <t>Speciality</t>
  </si>
  <si>
    <t>General Surgery</t>
  </si>
  <si>
    <t>Gastro/Colorectal</t>
  </si>
  <si>
    <t xml:space="preserve">Gastro   </t>
  </si>
  <si>
    <t>Imaging</t>
  </si>
  <si>
    <t>OMFS</t>
  </si>
  <si>
    <t>Insourcing</t>
  </si>
  <si>
    <t>Outsourcing</t>
  </si>
  <si>
    <t>Pain Services</t>
  </si>
  <si>
    <t>Insourcing - including equipment hire</t>
  </si>
  <si>
    <t>Ophthalmology</t>
  </si>
  <si>
    <t>Dermatology</t>
  </si>
  <si>
    <t>Shakespeare Clinic</t>
  </si>
  <si>
    <t>Offsite dermatology clinics</t>
  </si>
  <si>
    <t>Cardiology</t>
  </si>
  <si>
    <t>Xyla Diagnostics</t>
  </si>
  <si>
    <t>APARID</t>
  </si>
  <si>
    <t>Medicare Insourcing Services Ltd</t>
  </si>
  <si>
    <t>T&amp;O</t>
  </si>
  <si>
    <t>Pinehill</t>
  </si>
  <si>
    <t>Opthalmology</t>
  </si>
  <si>
    <t>ACHE</t>
  </si>
  <si>
    <t>ENT</t>
  </si>
  <si>
    <t>Offsite surgery capacity</t>
  </si>
  <si>
    <t>Cataract service</t>
  </si>
  <si>
    <t xml:space="preserve">Not yet used in 23/24   </t>
  </si>
  <si>
    <t>Outpatient activity</t>
  </si>
  <si>
    <t>Outsourced reporting for CT MRI &amp; Plain film and Dexa studies</t>
  </si>
  <si>
    <t>Added to proposed budget as this is expected to continue in FY24/25</t>
  </si>
  <si>
    <t>YTD Total (£'000)</t>
  </si>
  <si>
    <t>Comments</t>
  </si>
  <si>
    <t xml:space="preserve">Expected to continue at current levels as we are unable to provide this service in house. No contractual obligation.  </t>
  </si>
  <si>
    <t>Provision of echo service at both sites to clear backlog</t>
  </si>
  <si>
    <r>
      <t xml:space="preserve">Onsite provision of </t>
    </r>
    <r>
      <rPr>
        <b/>
        <sz val="12"/>
        <color theme="1"/>
        <rFont val="Arial"/>
        <family val="2"/>
      </rPr>
      <t>CT</t>
    </r>
    <r>
      <rPr>
        <sz val="12"/>
        <color theme="1"/>
        <rFont val="Arial"/>
        <family val="2"/>
      </rPr>
      <t xml:space="preserve"> scanning: CT hire &amp; staffing</t>
    </r>
  </si>
  <si>
    <r>
      <t xml:space="preserve">Onsite provision of </t>
    </r>
    <r>
      <rPr>
        <b/>
        <sz val="12"/>
        <color theme="1"/>
        <rFont val="Arial"/>
        <family val="2"/>
      </rPr>
      <t>MRI</t>
    </r>
    <r>
      <rPr>
        <sz val="12"/>
        <color theme="1"/>
        <rFont val="Arial"/>
        <family val="2"/>
      </rPr>
      <t xml:space="preserve"> scanning: MRI hire &amp; staffing</t>
    </r>
  </si>
  <si>
    <t>Outsourced reporting for new CDC acceleration activity.</t>
  </si>
  <si>
    <t xml:space="preserve">Funding from cancer alliance to continue in 24/25.  Currently using an agency locum consultant to support service. </t>
  </si>
  <si>
    <t>Full year budget 24/25</t>
  </si>
  <si>
    <t>Atrumed</t>
  </si>
  <si>
    <t>Urgent GP treatment service - Luton</t>
  </si>
  <si>
    <t>Urgent GP treatment service - Bedford</t>
  </si>
  <si>
    <t xml:space="preserve">Expected to continue at current rate but no contractual obligation to continue. </t>
  </si>
  <si>
    <t>Expected to continue, utilisation to increase as long wait hernias to be added. No contractual obligation</t>
  </si>
  <si>
    <t>Contracted, activity increasing, cost offset by income.  Service introduced to remove activity from ED and improve patient flow.</t>
  </si>
  <si>
    <t>Emergency Medicine</t>
  </si>
  <si>
    <t>Respiratory</t>
  </si>
  <si>
    <t>CT Scanner</t>
  </si>
  <si>
    <t>Reporting of CT Scans</t>
  </si>
  <si>
    <t>Heart &amp; Lung Imaging Ltd</t>
  </si>
  <si>
    <t>Cobalt Health</t>
  </si>
  <si>
    <t>Targetted Lung Health Check.  Screening project set up to diagnose Lung cancer.  Project ongoing and costs fully funded.  Note that this budget/cost also includes provision to a second provider.</t>
  </si>
  <si>
    <t>Reporting of CT scans for the TLHC project.</t>
  </si>
  <si>
    <t>Care of the Elderly</t>
  </si>
  <si>
    <t>Meals for patients at Archer Unit, North Wing</t>
  </si>
  <si>
    <t>Service will continue, logistics of providing this in-house are being considered</t>
  </si>
  <si>
    <t>909834/911797</t>
  </si>
  <si>
    <t>Remedy/Medinet</t>
  </si>
  <si>
    <t>Spend only £194</t>
  </si>
  <si>
    <t xml:space="preserve">Expected to continue at current levels
</t>
  </si>
  <si>
    <t>Expected to continue at current levels</t>
  </si>
  <si>
    <t>Outurn based on run rate 24/25</t>
  </si>
  <si>
    <t>Brake Bros Foodservice Ltd
AB Bruits Ltd
Raynor Foods Ltd</t>
  </si>
  <si>
    <t>950342
911306
909141</t>
  </si>
  <si>
    <t>Supporting shift gaps on our Ultrasound machines (opposed to agency staff). This contract will be increasing significantly to support the 2 additional scanners which have gone live 5th August</t>
  </si>
  <si>
    <t>Xyla used to clear echo backlog at both sites. These activities are offset by income.</t>
  </si>
  <si>
    <t>CT Scanner approved as a SD in 24/25 Budget Setting for Apr-Jun only to support replacement scanners at Luton. This scanner went offline on 30th June.</t>
  </si>
  <si>
    <t>MRI Scanner is at the Dunstable Hub as part of the NHSE funded CDC acceleration work.</t>
  </si>
  <si>
    <t>Sustained Radiologist vacancies cross-site and increased scanning activity.
Adjustment in July 24 to account for the backdated change in prices.</t>
  </si>
  <si>
    <t>Expected spend in 24/25 is £520k. Activity levels to be reviewed, with a view to reduce from Q4. No contractual obligation.</t>
  </si>
  <si>
    <t>No spend expected in 24/25</t>
  </si>
  <si>
    <t>Outsourced and insourcing expenditure as at 30 September 2024</t>
  </si>
  <si>
    <t>YTD spend Sep 23</t>
  </si>
  <si>
    <t>Overall Total:</t>
  </si>
  <si>
    <t>Category</t>
  </si>
  <si>
    <t>Q3 23-24</t>
  </si>
  <si>
    <t>Q4 23-24</t>
  </si>
  <si>
    <t>Total</t>
  </si>
  <si>
    <t>Specialty</t>
  </si>
  <si>
    <t>FY</t>
  </si>
  <si>
    <t>Q1 24-25</t>
  </si>
  <si>
    <t>Q2 24-25</t>
  </si>
  <si>
    <t>Outsourced and insourcing expenditure Oct 23 to Sept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</si>
</sst>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0" xfId="0" applyAlignment="1">
      <alignment horizontal="left" vertical="top" wrapText="1"/>
    </xf>
    <xf numFmtId="164" fontId="2" fillId="3" borderId="1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164" fontId="0" fillId="0" borderId="1" xfId="1" applyNumberFormat="1" applyFont="1" applyFill="1" applyBorder="1" applyAlignment="1">
      <alignment horizontal="left" vertical="top" wrapText="1"/>
    </xf>
    <xf numFmtId="164" fontId="0" fillId="4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1" applyNumberFormat="1" applyFont="1" applyBorder="1" applyAlignment="1">
      <alignment horizontal="right" vertical="top" wrapText="1"/>
    </xf>
    <xf numFmtId="164" fontId="0" fillId="0" borderId="1" xfId="1" applyNumberFormat="1" applyFont="1" applyBorder="1" applyAlignment="1">
      <alignment horizontal="right" vertical="top"/>
    </xf>
    <xf numFmtId="164" fontId="0" fillId="4" borderId="1" xfId="1" applyNumberFormat="1" applyFont="1" applyFill="1" applyBorder="1" applyAlignment="1">
      <alignment horizontal="right" vertical="top" wrapText="1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164" fontId="2" fillId="3" borderId="1" xfId="1" applyNumberFormat="1" applyFont="1" applyFill="1" applyBorder="1" applyAlignment="1">
      <alignment horizontal="right" vertical="top"/>
    </xf>
    <xf numFmtId="0" fontId="0" fillId="0" borderId="2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17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0" fillId="0" borderId="8" xfId="0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 wrapText="1"/>
    </xf>
    <xf numFmtId="164" fontId="0" fillId="0" borderId="0" xfId="0" applyNumberFormat="1" applyAlignment="1">
      <alignment horizontal="right" vertical="top"/>
    </xf>
    <xf numFmtId="0" fontId="0" fillId="0" borderId="1" xfId="0" applyBorder="1" applyAlignment="1">
      <alignment horizontal="center" vertical="top" wrapText="1"/>
    </xf>
    <xf numFmtId="164" fontId="0" fillId="0" borderId="1" xfId="1" applyNumberFormat="1" applyFont="1" applyFill="1" applyBorder="1" applyAlignment="1">
      <alignment horizontal="right" vertical="top" wrapText="1"/>
    </xf>
    <xf numFmtId="164" fontId="0" fillId="0" borderId="1" xfId="1" applyNumberFormat="1" applyFont="1" applyFill="1" applyBorder="1" applyAlignment="1">
      <alignment vertical="top" wrapText="1"/>
    </xf>
    <xf numFmtId="164" fontId="0" fillId="5" borderId="1" xfId="1" applyNumberFormat="1" applyFont="1" applyFill="1" applyBorder="1" applyAlignment="1">
      <alignment horizontal="left" vertical="top" wrapText="1"/>
    </xf>
    <xf numFmtId="164" fontId="0" fillId="5" borderId="1" xfId="1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/>
    <xf numFmtId="0" fontId="0" fillId="0" borderId="3" xfId="0" applyBorder="1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GridLines="0" zoomScaleNormal="100" workbookViewId="0">
      <pane xSplit="4" ySplit="3" topLeftCell="F17" activePane="bottomRight" state="frozen"/>
      <selection pane="topRight" activeCell="E1" sqref="E1"/>
      <selection pane="bottomLeft" activeCell="A4" sqref="A4"/>
      <selection pane="bottomRight" activeCell="M17" sqref="M17"/>
    </sheetView>
  </sheetViews>
  <sheetFormatPr defaultRowHeight="15" x14ac:dyDescent="0.2"/>
  <cols>
    <col min="1" max="1" width="16.6640625" style="26" customWidth="1"/>
    <col min="2" max="2" width="8.109375" style="32" customWidth="1"/>
    <col min="3" max="3" width="24.21875" style="10" customWidth="1"/>
    <col min="4" max="4" width="15.6640625" style="10" customWidth="1"/>
    <col min="5" max="5" width="35.44140625" style="10" customWidth="1"/>
    <col min="6" max="12" width="9.5546875" style="33" customWidth="1"/>
    <col min="13" max="13" width="34.5546875" style="2" customWidth="1"/>
    <col min="14" max="15" width="9.5546875" style="33" customWidth="1"/>
    <col min="16" max="16" width="8.88671875" style="10"/>
    <col min="17" max="17" width="9.5546875" style="33" customWidth="1"/>
    <col min="18" max="16384" width="8.88671875" style="10"/>
  </cols>
  <sheetData>
    <row r="1" spans="1:17" ht="15.75" x14ac:dyDescent="0.2">
      <c r="A1" s="8" t="s">
        <v>90</v>
      </c>
      <c r="B1" s="27"/>
      <c r="D1" s="9"/>
    </row>
    <row r="3" spans="1:17" ht="49.5" customHeight="1" x14ac:dyDescent="0.2">
      <c r="A3" s="11"/>
      <c r="B3" s="28" t="s">
        <v>36</v>
      </c>
      <c r="C3" s="12" t="s">
        <v>0</v>
      </c>
      <c r="D3" s="12" t="s">
        <v>20</v>
      </c>
      <c r="E3" s="12" t="s">
        <v>1</v>
      </c>
      <c r="F3" s="34">
        <v>45383</v>
      </c>
      <c r="G3" s="34">
        <f>F3+31</f>
        <v>45414</v>
      </c>
      <c r="H3" s="34">
        <f t="shared" ref="H3:K3" si="0">G3+31</f>
        <v>45445</v>
      </c>
      <c r="I3" s="34">
        <f t="shared" si="0"/>
        <v>45476</v>
      </c>
      <c r="J3" s="34">
        <f t="shared" si="0"/>
        <v>45507</v>
      </c>
      <c r="K3" s="34">
        <f t="shared" si="0"/>
        <v>45538</v>
      </c>
      <c r="L3" s="35" t="s">
        <v>49</v>
      </c>
      <c r="M3" s="13" t="s">
        <v>50</v>
      </c>
      <c r="N3" s="34" t="s">
        <v>57</v>
      </c>
      <c r="O3" s="34" t="s">
        <v>80</v>
      </c>
      <c r="Q3" s="34" t="s">
        <v>91</v>
      </c>
    </row>
    <row r="4" spans="1:17" ht="45" x14ac:dyDescent="0.2">
      <c r="A4" s="56" t="s">
        <v>26</v>
      </c>
      <c r="B4" s="39" t="s">
        <v>75</v>
      </c>
      <c r="C4" s="14" t="s">
        <v>76</v>
      </c>
      <c r="D4" s="14" t="s">
        <v>22</v>
      </c>
      <c r="E4" s="15" t="s">
        <v>8</v>
      </c>
      <c r="F4" s="16"/>
      <c r="G4" s="16">
        <v>1.494</v>
      </c>
      <c r="H4" s="16">
        <v>16.12</v>
      </c>
      <c r="I4" s="16">
        <v>32.515000000000001</v>
      </c>
      <c r="J4" s="16">
        <v>2.1840000000000002</v>
      </c>
      <c r="K4" s="16">
        <v>1.494</v>
      </c>
      <c r="L4" s="17">
        <f>SUM(F4:K4)</f>
        <v>53.807000000000002</v>
      </c>
      <c r="M4" s="6" t="s">
        <v>56</v>
      </c>
      <c r="N4" s="40">
        <v>0</v>
      </c>
      <c r="O4" s="40">
        <f>L4/6*12</f>
        <v>107.614</v>
      </c>
      <c r="Q4" s="40">
        <v>21</v>
      </c>
    </row>
    <row r="5" spans="1:17" ht="45" x14ac:dyDescent="0.2">
      <c r="A5" s="57"/>
      <c r="B5" s="29">
        <v>910173</v>
      </c>
      <c r="C5" s="14" t="s">
        <v>35</v>
      </c>
      <c r="D5" s="14" t="s">
        <v>34</v>
      </c>
      <c r="E5" s="15" t="s">
        <v>52</v>
      </c>
      <c r="F5" s="16">
        <v>37.031999999999996</v>
      </c>
      <c r="G5" s="16">
        <v>30.053000000000001</v>
      </c>
      <c r="H5" s="16">
        <v>34.491999999999997</v>
      </c>
      <c r="I5" s="16">
        <v>33.095999999999997</v>
      </c>
      <c r="J5" s="16">
        <v>31.326000000000001</v>
      </c>
      <c r="K5" s="16">
        <v>21.843</v>
      </c>
      <c r="L5" s="17">
        <f t="shared" ref="L5:L28" si="1">SUM(F5:K5)</f>
        <v>187.84199999999998</v>
      </c>
      <c r="M5" s="6" t="s">
        <v>84</v>
      </c>
      <c r="N5" s="40">
        <v>0</v>
      </c>
      <c r="O5" s="40">
        <f t="shared" ref="O5:O8" si="2">L5/6*12</f>
        <v>375.68399999999997</v>
      </c>
      <c r="Q5" s="40">
        <v>188</v>
      </c>
    </row>
    <row r="6" spans="1:17" ht="75" x14ac:dyDescent="0.2">
      <c r="A6" s="57"/>
      <c r="B6" s="29">
        <v>909986</v>
      </c>
      <c r="C6" s="15" t="s">
        <v>37</v>
      </c>
      <c r="D6" s="14" t="s">
        <v>24</v>
      </c>
      <c r="E6" s="15" t="s">
        <v>17</v>
      </c>
      <c r="F6" s="16">
        <v>13.94</v>
      </c>
      <c r="G6" s="16">
        <v>4.7009999999999996</v>
      </c>
      <c r="H6" s="16">
        <v>10.137</v>
      </c>
      <c r="I6" s="16">
        <v>11.36</v>
      </c>
      <c r="J6" s="16">
        <v>36.140999999999998</v>
      </c>
      <c r="K6" s="16">
        <v>49.15</v>
      </c>
      <c r="L6" s="17">
        <f t="shared" si="1"/>
        <v>125.429</v>
      </c>
      <c r="M6" s="6" t="s">
        <v>83</v>
      </c>
      <c r="N6" s="40">
        <v>168</v>
      </c>
      <c r="O6" s="40">
        <f t="shared" si="2"/>
        <v>250.858</v>
      </c>
      <c r="Q6" s="40">
        <v>50</v>
      </c>
    </row>
    <row r="7" spans="1:17" ht="45" x14ac:dyDescent="0.2">
      <c r="A7" s="57"/>
      <c r="B7" s="29">
        <v>908421</v>
      </c>
      <c r="C7" s="14" t="s">
        <v>58</v>
      </c>
      <c r="D7" s="15" t="s">
        <v>64</v>
      </c>
      <c r="E7" s="15" t="s">
        <v>59</v>
      </c>
      <c r="F7" s="16">
        <v>288.214</v>
      </c>
      <c r="G7" s="16">
        <v>288.214</v>
      </c>
      <c r="H7" s="16">
        <v>327.76900000000001</v>
      </c>
      <c r="I7" s="16">
        <v>291.87900000000002</v>
      </c>
      <c r="J7" s="16">
        <v>280.39999999999998</v>
      </c>
      <c r="K7" s="16">
        <v>233.04499999999999</v>
      </c>
      <c r="L7" s="17">
        <f t="shared" si="1"/>
        <v>1709.5210000000002</v>
      </c>
      <c r="M7" s="6" t="s">
        <v>63</v>
      </c>
      <c r="N7" s="40">
        <v>3054</v>
      </c>
      <c r="O7" s="40">
        <f t="shared" si="2"/>
        <v>3419.0420000000004</v>
      </c>
      <c r="Q7" s="40">
        <v>1498.2750000000001</v>
      </c>
    </row>
    <row r="8" spans="1:17" ht="45" x14ac:dyDescent="0.2">
      <c r="A8" s="58"/>
      <c r="B8" s="29">
        <v>908421</v>
      </c>
      <c r="C8" s="14" t="s">
        <v>58</v>
      </c>
      <c r="D8" s="15" t="s">
        <v>64</v>
      </c>
      <c r="E8" s="15" t="s">
        <v>60</v>
      </c>
      <c r="F8" s="16">
        <v>190.5</v>
      </c>
      <c r="G8" s="16">
        <v>190.5</v>
      </c>
      <c r="H8" s="16">
        <v>202.88399999999999</v>
      </c>
      <c r="I8" s="16">
        <v>194.61600000000001</v>
      </c>
      <c r="J8" s="16">
        <v>184.928</v>
      </c>
      <c r="K8" s="16">
        <v>146.17400000000001</v>
      </c>
      <c r="L8" s="17">
        <f t="shared" si="1"/>
        <v>1109.6020000000001</v>
      </c>
      <c r="M8" s="6" t="s">
        <v>63</v>
      </c>
      <c r="N8" s="40">
        <v>1715</v>
      </c>
      <c r="O8" s="40">
        <f t="shared" si="2"/>
        <v>2219.2040000000002</v>
      </c>
      <c r="Q8" s="40">
        <v>1012.068</v>
      </c>
    </row>
    <row r="9" spans="1:17" ht="15.75" x14ac:dyDescent="0.2">
      <c r="A9" s="19"/>
      <c r="B9" s="30"/>
      <c r="C9" s="20"/>
      <c r="D9" s="20"/>
      <c r="E9" s="21"/>
      <c r="F9" s="22">
        <f>SUM(F4:F8)</f>
        <v>529.68599999999992</v>
      </c>
      <c r="G9" s="22">
        <f t="shared" ref="G9:N9" si="3">SUM(G4:G8)</f>
        <v>514.96199999999999</v>
      </c>
      <c r="H9" s="22">
        <f t="shared" si="3"/>
        <v>591.40200000000004</v>
      </c>
      <c r="I9" s="22">
        <f t="shared" si="3"/>
        <v>563.46600000000001</v>
      </c>
      <c r="J9" s="22">
        <f t="shared" si="3"/>
        <v>534.97900000000004</v>
      </c>
      <c r="K9" s="22">
        <f t="shared" si="3"/>
        <v>451.70600000000002</v>
      </c>
      <c r="L9" s="22">
        <f t="shared" si="3"/>
        <v>3186.201</v>
      </c>
      <c r="M9" s="3"/>
      <c r="N9" s="22">
        <f t="shared" si="3"/>
        <v>4937</v>
      </c>
      <c r="O9" s="22">
        <f t="shared" ref="O9:Q9" si="4">SUM(O4:O8)</f>
        <v>6372.402</v>
      </c>
      <c r="Q9" s="22">
        <f t="shared" si="4"/>
        <v>2769.3429999999998</v>
      </c>
    </row>
    <row r="10" spans="1:17" ht="60" x14ac:dyDescent="0.2">
      <c r="A10" s="23" t="s">
        <v>29</v>
      </c>
      <c r="B10" s="29">
        <v>909419</v>
      </c>
      <c r="C10" s="14" t="s">
        <v>10</v>
      </c>
      <c r="D10" s="14" t="s">
        <v>24</v>
      </c>
      <c r="E10" s="15" t="s">
        <v>53</v>
      </c>
      <c r="F10" s="16">
        <v>65.7</v>
      </c>
      <c r="G10" s="16">
        <v>65.7</v>
      </c>
      <c r="H10" s="16">
        <v>65.7</v>
      </c>
      <c r="I10" s="16">
        <v>-2.19</v>
      </c>
      <c r="J10" s="16">
        <v>0</v>
      </c>
      <c r="K10" s="16">
        <v>0</v>
      </c>
      <c r="L10" s="17">
        <f t="shared" si="1"/>
        <v>194.91000000000003</v>
      </c>
      <c r="M10" s="6" t="s">
        <v>85</v>
      </c>
      <c r="N10" s="40">
        <v>240</v>
      </c>
      <c r="O10" s="40">
        <f>L10</f>
        <v>194.91000000000003</v>
      </c>
      <c r="Q10" s="40">
        <v>463</v>
      </c>
    </row>
    <row r="11" spans="1:17" ht="45" x14ac:dyDescent="0.2">
      <c r="A11" s="23"/>
      <c r="B11" s="29">
        <v>909419</v>
      </c>
      <c r="C11" s="14" t="s">
        <v>10</v>
      </c>
      <c r="D11" s="14" t="s">
        <v>24</v>
      </c>
      <c r="E11" s="15" t="s">
        <v>54</v>
      </c>
      <c r="F11" s="16">
        <v>68.7</v>
      </c>
      <c r="G11" s="16">
        <v>70.989999999999995</v>
      </c>
      <c r="H11" s="16">
        <v>70.989999999999995</v>
      </c>
      <c r="I11" s="16">
        <v>68.7</v>
      </c>
      <c r="J11" s="16">
        <v>70.989999999999995</v>
      </c>
      <c r="K11" s="16">
        <v>62.631</v>
      </c>
      <c r="L11" s="17">
        <f t="shared" si="1"/>
        <v>413.00099999999998</v>
      </c>
      <c r="M11" s="6" t="s">
        <v>86</v>
      </c>
      <c r="N11" s="40">
        <v>835</v>
      </c>
      <c r="O11" s="40">
        <f t="shared" ref="O11:O28" si="5">L11/6*12</f>
        <v>826.00199999999995</v>
      </c>
      <c r="Q11" s="40">
        <v>0</v>
      </c>
    </row>
    <row r="12" spans="1:17" ht="15.75" x14ac:dyDescent="0.2">
      <c r="A12" s="19"/>
      <c r="B12" s="30"/>
      <c r="C12" s="20"/>
      <c r="D12" s="20"/>
      <c r="E12" s="21"/>
      <c r="F12" s="22">
        <f>SUM(F10:F11)</f>
        <v>134.4</v>
      </c>
      <c r="G12" s="22">
        <f t="shared" ref="G12:L12" si="6">SUM(G10:G11)</f>
        <v>136.69</v>
      </c>
      <c r="H12" s="22">
        <f t="shared" si="6"/>
        <v>136.69</v>
      </c>
      <c r="I12" s="22">
        <f t="shared" si="6"/>
        <v>66.510000000000005</v>
      </c>
      <c r="J12" s="22">
        <f t="shared" si="6"/>
        <v>70.989999999999995</v>
      </c>
      <c r="K12" s="22">
        <f t="shared" si="6"/>
        <v>62.631</v>
      </c>
      <c r="L12" s="22">
        <f t="shared" si="6"/>
        <v>607.91100000000006</v>
      </c>
      <c r="M12" s="3"/>
      <c r="N12" s="22">
        <f t="shared" ref="N12:Q12" si="7">SUM(N10:N11)</f>
        <v>1075</v>
      </c>
      <c r="O12" s="22">
        <f t="shared" si="7"/>
        <v>1020.912</v>
      </c>
      <c r="Q12" s="22">
        <f t="shared" si="7"/>
        <v>463</v>
      </c>
    </row>
    <row r="13" spans="1:17" ht="60" x14ac:dyDescent="0.2">
      <c r="A13" s="53" t="s">
        <v>27</v>
      </c>
      <c r="B13" s="29">
        <v>903606</v>
      </c>
      <c r="C13" s="14" t="s">
        <v>6</v>
      </c>
      <c r="D13" s="14" t="s">
        <v>24</v>
      </c>
      <c r="E13" s="15" t="s">
        <v>47</v>
      </c>
      <c r="F13" s="16">
        <f>184.915-F14</f>
        <v>162.91499999999999</v>
      </c>
      <c r="G13" s="16">
        <f>211.116-G14</f>
        <v>188.51600000000002</v>
      </c>
      <c r="H13" s="16">
        <f>206.894-H14</f>
        <v>180.89400000000001</v>
      </c>
      <c r="I13" s="16">
        <f>138.788-I14</f>
        <v>115.18800000000002</v>
      </c>
      <c r="J13" s="16">
        <f>230.059-J14</f>
        <v>177.63400000000001</v>
      </c>
      <c r="K13" s="16">
        <f>93.994-K14</f>
        <v>69.861999999999995</v>
      </c>
      <c r="L13" s="17">
        <f t="shared" si="1"/>
        <v>895.00900000000001</v>
      </c>
      <c r="M13" s="6" t="s">
        <v>87</v>
      </c>
      <c r="N13" s="40">
        <v>1234</v>
      </c>
      <c r="O13" s="40">
        <f t="shared" si="5"/>
        <v>1790.018</v>
      </c>
      <c r="Q13" s="40">
        <v>823</v>
      </c>
    </row>
    <row r="14" spans="1:17" ht="45" x14ac:dyDescent="0.2">
      <c r="A14" s="54"/>
      <c r="B14" s="29">
        <v>903606</v>
      </c>
      <c r="C14" s="14" t="s">
        <v>6</v>
      </c>
      <c r="D14" s="14" t="s">
        <v>24</v>
      </c>
      <c r="E14" s="15" t="s">
        <v>55</v>
      </c>
      <c r="F14" s="40">
        <v>22</v>
      </c>
      <c r="G14" s="40">
        <v>22.6</v>
      </c>
      <c r="H14" s="40">
        <v>26</v>
      </c>
      <c r="I14" s="40">
        <v>23.6</v>
      </c>
      <c r="J14" s="40">
        <v>52.424999999999997</v>
      </c>
      <c r="K14" s="40">
        <v>24.132000000000001</v>
      </c>
      <c r="L14" s="17">
        <f t="shared" si="1"/>
        <v>170.75700000000001</v>
      </c>
      <c r="M14" s="6" t="s">
        <v>86</v>
      </c>
      <c r="N14" s="40">
        <v>238</v>
      </c>
      <c r="O14" s="40">
        <f t="shared" si="5"/>
        <v>341.51400000000001</v>
      </c>
      <c r="Q14" s="40">
        <v>0</v>
      </c>
    </row>
    <row r="15" spans="1:17" ht="45" x14ac:dyDescent="0.2">
      <c r="A15" s="54"/>
      <c r="B15" s="29">
        <v>59874</v>
      </c>
      <c r="C15" s="14" t="s">
        <v>2</v>
      </c>
      <c r="D15" s="14" t="s">
        <v>21</v>
      </c>
      <c r="E15" s="15" t="s">
        <v>12</v>
      </c>
      <c r="F15" s="16">
        <v>11.683999999999999</v>
      </c>
      <c r="G15" s="16">
        <v>11.683999999999999</v>
      </c>
      <c r="H15" s="16">
        <v>3.8929999999999998</v>
      </c>
      <c r="I15" s="16">
        <v>36.712000000000003</v>
      </c>
      <c r="J15" s="16">
        <v>24.733000000000001</v>
      </c>
      <c r="K15" s="16">
        <f>AVERAGE(F15:J15)</f>
        <v>17.741199999999999</v>
      </c>
      <c r="L15" s="17">
        <f t="shared" si="1"/>
        <v>106.44720000000001</v>
      </c>
      <c r="M15" s="6" t="s">
        <v>62</v>
      </c>
      <c r="N15" s="40">
        <v>0</v>
      </c>
      <c r="O15" s="40">
        <f t="shared" si="5"/>
        <v>212.89440000000002</v>
      </c>
      <c r="Q15" s="40">
        <v>30</v>
      </c>
    </row>
    <row r="16" spans="1:17" ht="30" x14ac:dyDescent="0.2">
      <c r="A16" s="54"/>
      <c r="B16" s="29">
        <v>59874</v>
      </c>
      <c r="C16" s="14" t="s">
        <v>2</v>
      </c>
      <c r="D16" s="14" t="s">
        <v>38</v>
      </c>
      <c r="E16" s="15" t="s">
        <v>43</v>
      </c>
      <c r="F16" s="16">
        <v>10</v>
      </c>
      <c r="G16" s="16">
        <v>10</v>
      </c>
      <c r="H16" s="16">
        <v>10</v>
      </c>
      <c r="I16" s="16">
        <v>57.512</v>
      </c>
      <c r="J16" s="16">
        <v>72.081000000000003</v>
      </c>
      <c r="K16" s="16">
        <f>AVERAGE(F16:J16)</f>
        <v>31.918600000000005</v>
      </c>
      <c r="L16" s="17">
        <f t="shared" si="1"/>
        <v>191.51160000000002</v>
      </c>
      <c r="M16" s="6" t="s">
        <v>78</v>
      </c>
      <c r="N16" s="40">
        <v>0</v>
      </c>
      <c r="O16" s="40">
        <f t="shared" si="5"/>
        <v>383.02320000000003</v>
      </c>
      <c r="Q16" s="40">
        <v>44</v>
      </c>
    </row>
    <row r="17" spans="1:17" ht="30" x14ac:dyDescent="0.2">
      <c r="A17" s="54"/>
      <c r="B17" s="29">
        <v>909960</v>
      </c>
      <c r="C17" s="14" t="s">
        <v>7</v>
      </c>
      <c r="D17" s="14" t="s">
        <v>24</v>
      </c>
      <c r="E17" s="15" t="s">
        <v>15</v>
      </c>
      <c r="F17" s="16">
        <v>29.350999999999999</v>
      </c>
      <c r="G17" s="16">
        <v>11.956</v>
      </c>
      <c r="H17" s="16">
        <v>35</v>
      </c>
      <c r="I17" s="16">
        <v>33.679000000000002</v>
      </c>
      <c r="J17" s="16">
        <v>22.751000000000001</v>
      </c>
      <c r="K17" s="16">
        <v>-3.06</v>
      </c>
      <c r="L17" s="17">
        <f t="shared" si="1"/>
        <v>129.67699999999999</v>
      </c>
      <c r="M17" s="6" t="s">
        <v>48</v>
      </c>
      <c r="N17" s="40">
        <f>162997.5/1000</f>
        <v>162.9975</v>
      </c>
      <c r="O17" s="40">
        <f t="shared" si="5"/>
        <v>259.35399999999998</v>
      </c>
      <c r="Q17" s="40">
        <v>128</v>
      </c>
    </row>
    <row r="18" spans="1:17" ht="60" x14ac:dyDescent="0.2">
      <c r="A18" s="54"/>
      <c r="B18" s="29">
        <v>911248</v>
      </c>
      <c r="C18" s="14" t="s">
        <v>32</v>
      </c>
      <c r="D18" s="14" t="s">
        <v>31</v>
      </c>
      <c r="E18" s="15" t="s">
        <v>33</v>
      </c>
      <c r="F18" s="16">
        <v>23.015999999999998</v>
      </c>
      <c r="G18" s="16">
        <v>37.758000000000003</v>
      </c>
      <c r="H18" s="16">
        <v>74.471999999999994</v>
      </c>
      <c r="I18" s="16">
        <v>62.27</v>
      </c>
      <c r="J18" s="16">
        <v>76.233000000000004</v>
      </c>
      <c r="K18" s="16">
        <v>30.87</v>
      </c>
      <c r="L18" s="17">
        <f t="shared" si="1"/>
        <v>304.61900000000003</v>
      </c>
      <c r="M18" s="6" t="s">
        <v>88</v>
      </c>
      <c r="N18" s="40">
        <f>162.997</f>
        <v>162.99700000000001</v>
      </c>
      <c r="O18" s="40">
        <v>520</v>
      </c>
      <c r="Q18" s="40">
        <v>141</v>
      </c>
    </row>
    <row r="19" spans="1:17" x14ac:dyDescent="0.2">
      <c r="A19" s="54"/>
      <c r="B19" s="29">
        <v>910447</v>
      </c>
      <c r="C19" s="14" t="s">
        <v>18</v>
      </c>
      <c r="D19" s="14" t="s">
        <v>30</v>
      </c>
      <c r="E19" s="15" t="s">
        <v>19</v>
      </c>
      <c r="F19" s="16">
        <v>0.19400000000000001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7">
        <f t="shared" si="1"/>
        <v>0.19400000000000001</v>
      </c>
      <c r="M19" s="6" t="s">
        <v>77</v>
      </c>
      <c r="N19" s="40"/>
      <c r="O19" s="40">
        <f t="shared" si="5"/>
        <v>0.38800000000000001</v>
      </c>
      <c r="Q19" s="40">
        <v>0</v>
      </c>
    </row>
    <row r="20" spans="1:17" ht="75" x14ac:dyDescent="0.2">
      <c r="A20" s="54"/>
      <c r="B20" s="29">
        <v>909475</v>
      </c>
      <c r="C20" s="14" t="s">
        <v>69</v>
      </c>
      <c r="D20" s="14" t="s">
        <v>65</v>
      </c>
      <c r="E20" s="15" t="s">
        <v>66</v>
      </c>
      <c r="F20" s="16">
        <f>92983/1000</f>
        <v>92.983000000000004</v>
      </c>
      <c r="G20" s="16">
        <f>79517/1000</f>
        <v>79.516999999999996</v>
      </c>
      <c r="H20" s="16">
        <v>86.25</v>
      </c>
      <c r="I20" s="16">
        <v>98.75</v>
      </c>
      <c r="J20" s="16">
        <v>92.718999999999994</v>
      </c>
      <c r="K20" s="16">
        <v>115.71899999999999</v>
      </c>
      <c r="L20" s="17">
        <f t="shared" si="1"/>
        <v>565.93799999999999</v>
      </c>
      <c r="M20" s="6" t="s">
        <v>70</v>
      </c>
      <c r="N20" s="40">
        <v>1065</v>
      </c>
      <c r="O20" s="40">
        <f t="shared" si="5"/>
        <v>1131.876</v>
      </c>
      <c r="Q20" s="40">
        <v>0</v>
      </c>
    </row>
    <row r="21" spans="1:17" ht="30" x14ac:dyDescent="0.2">
      <c r="A21" s="54"/>
      <c r="B21" s="29">
        <v>909566</v>
      </c>
      <c r="C21" s="14" t="s">
        <v>68</v>
      </c>
      <c r="D21" s="14" t="s">
        <v>65</v>
      </c>
      <c r="E21" s="15" t="s">
        <v>67</v>
      </c>
      <c r="F21" s="16">
        <f>45378.25/1000</f>
        <v>45.378250000000001</v>
      </c>
      <c r="G21" s="16">
        <f>33572.12/1000</f>
        <v>33.572120000000005</v>
      </c>
      <c r="H21" s="16">
        <v>39.887999999999998</v>
      </c>
      <c r="I21" s="16">
        <v>40.618000000000002</v>
      </c>
      <c r="J21" s="16">
        <v>63.624000000000002</v>
      </c>
      <c r="K21" s="16">
        <v>45.210999999999999</v>
      </c>
      <c r="L21" s="17">
        <f t="shared" si="1"/>
        <v>268.29136999999997</v>
      </c>
      <c r="M21" s="6" t="s">
        <v>71</v>
      </c>
      <c r="N21" s="40">
        <v>510</v>
      </c>
      <c r="O21" s="40">
        <f t="shared" si="5"/>
        <v>536.58273999999994</v>
      </c>
      <c r="Q21" s="40">
        <v>0</v>
      </c>
    </row>
    <row r="22" spans="1:17" ht="45" x14ac:dyDescent="0.2">
      <c r="A22" s="54"/>
      <c r="B22" s="39" t="s">
        <v>82</v>
      </c>
      <c r="C22" s="15" t="s">
        <v>81</v>
      </c>
      <c r="D22" s="14" t="s">
        <v>72</v>
      </c>
      <c r="E22" s="15" t="s">
        <v>73</v>
      </c>
      <c r="F22" s="40">
        <v>7.2</v>
      </c>
      <c r="G22" s="40">
        <v>2.5</v>
      </c>
      <c r="H22" s="40">
        <v>5.7</v>
      </c>
      <c r="I22" s="40">
        <v>4.5</v>
      </c>
      <c r="J22" s="40">
        <v>4.5430000000000001</v>
      </c>
      <c r="K22" s="40">
        <v>3.222</v>
      </c>
      <c r="L22" s="17">
        <f t="shared" si="1"/>
        <v>27.664999999999999</v>
      </c>
      <c r="M22" s="6" t="s">
        <v>74</v>
      </c>
      <c r="N22" s="40">
        <v>52</v>
      </c>
      <c r="O22" s="40">
        <f t="shared" si="5"/>
        <v>55.33</v>
      </c>
      <c r="Q22" s="40">
        <v>28.187999999999999</v>
      </c>
    </row>
    <row r="23" spans="1:17" ht="45" x14ac:dyDescent="0.2">
      <c r="A23" s="54"/>
      <c r="B23" s="29">
        <v>910391</v>
      </c>
      <c r="C23" s="14" t="s">
        <v>4</v>
      </c>
      <c r="D23" s="14" t="s">
        <v>23</v>
      </c>
      <c r="E23" s="15" t="s">
        <v>5</v>
      </c>
      <c r="F23" s="16">
        <v>4.5</v>
      </c>
      <c r="G23" s="16">
        <v>3.9</v>
      </c>
      <c r="H23" s="16">
        <v>-5.6</v>
      </c>
      <c r="I23" s="16">
        <v>3.4</v>
      </c>
      <c r="J23" s="16">
        <v>3.2</v>
      </c>
      <c r="K23" s="16">
        <v>3.2</v>
      </c>
      <c r="L23" s="17">
        <f t="shared" si="1"/>
        <v>12.600000000000001</v>
      </c>
      <c r="M23" s="6" t="s">
        <v>51</v>
      </c>
      <c r="N23" s="40">
        <v>0</v>
      </c>
      <c r="O23" s="40">
        <f t="shared" si="5"/>
        <v>25.200000000000003</v>
      </c>
      <c r="Q23" s="40">
        <v>20</v>
      </c>
    </row>
    <row r="24" spans="1:17" ht="30" x14ac:dyDescent="0.2">
      <c r="A24" s="54"/>
      <c r="B24" s="29">
        <v>909568</v>
      </c>
      <c r="C24" s="14" t="s">
        <v>9</v>
      </c>
      <c r="D24" s="14" t="s">
        <v>28</v>
      </c>
      <c r="E24" s="15" t="s">
        <v>11</v>
      </c>
      <c r="F24" s="16">
        <v>2.9580000000000002</v>
      </c>
      <c r="G24" s="16">
        <v>10.058999999999999</v>
      </c>
      <c r="H24" s="16">
        <v>2.5750000000000002</v>
      </c>
      <c r="I24" s="16">
        <v>6.508</v>
      </c>
      <c r="J24" s="16">
        <v>6.508</v>
      </c>
      <c r="K24" s="16">
        <v>6.508</v>
      </c>
      <c r="L24" s="17">
        <f t="shared" si="1"/>
        <v>35.116</v>
      </c>
      <c r="M24" s="6" t="s">
        <v>61</v>
      </c>
      <c r="N24" s="40">
        <v>0</v>
      </c>
      <c r="O24" s="40">
        <f t="shared" si="5"/>
        <v>70.231999999999999</v>
      </c>
      <c r="Q24" s="40">
        <v>17</v>
      </c>
    </row>
    <row r="25" spans="1:17" hidden="1" x14ac:dyDescent="0.2">
      <c r="A25" s="54"/>
      <c r="B25" s="29">
        <v>909852</v>
      </c>
      <c r="C25" s="14" t="s">
        <v>13</v>
      </c>
      <c r="D25" s="14" t="s">
        <v>25</v>
      </c>
      <c r="E25" s="15" t="s">
        <v>14</v>
      </c>
      <c r="F25" s="16"/>
      <c r="G25" s="16"/>
      <c r="H25" s="16"/>
      <c r="I25" s="16"/>
      <c r="J25" s="16"/>
      <c r="K25" s="16"/>
      <c r="L25" s="17">
        <f t="shared" si="1"/>
        <v>0</v>
      </c>
      <c r="M25" s="7" t="s">
        <v>45</v>
      </c>
      <c r="N25" s="18"/>
      <c r="O25" s="40">
        <f t="shared" si="5"/>
        <v>0</v>
      </c>
      <c r="Q25" s="18"/>
    </row>
    <row r="26" spans="1:17" x14ac:dyDescent="0.2">
      <c r="A26" s="54"/>
      <c r="B26" s="29">
        <v>904754</v>
      </c>
      <c r="C26" s="14" t="s">
        <v>39</v>
      </c>
      <c r="D26" s="14" t="s">
        <v>38</v>
      </c>
      <c r="E26" s="15" t="s">
        <v>43</v>
      </c>
      <c r="F26" s="16">
        <v>0</v>
      </c>
      <c r="G26" s="16">
        <v>0</v>
      </c>
      <c r="H26" s="16">
        <v>0</v>
      </c>
      <c r="I26" s="16">
        <v>16.277000000000001</v>
      </c>
      <c r="J26" s="16">
        <v>17.795000000000002</v>
      </c>
      <c r="K26" s="16">
        <v>0</v>
      </c>
      <c r="L26" s="17">
        <f t="shared" si="1"/>
        <v>34.072000000000003</v>
      </c>
      <c r="M26" s="41" t="s">
        <v>79</v>
      </c>
      <c r="N26" s="40">
        <v>0</v>
      </c>
      <c r="O26" s="40">
        <f t="shared" si="5"/>
        <v>68.144000000000005</v>
      </c>
      <c r="Q26" s="40">
        <v>104</v>
      </c>
    </row>
    <row r="27" spans="1:17" hidden="1" x14ac:dyDescent="0.2">
      <c r="A27" s="54"/>
      <c r="B27" s="29">
        <v>909834</v>
      </c>
      <c r="C27" s="14" t="s">
        <v>3</v>
      </c>
      <c r="D27" s="14" t="s">
        <v>40</v>
      </c>
      <c r="E27" s="15" t="s">
        <v>44</v>
      </c>
      <c r="F27" s="16"/>
      <c r="G27" s="16"/>
      <c r="H27" s="16"/>
      <c r="I27" s="16"/>
      <c r="J27" s="16"/>
      <c r="K27" s="16"/>
      <c r="L27" s="17">
        <f t="shared" si="1"/>
        <v>0</v>
      </c>
      <c r="M27" s="42" t="s">
        <v>89</v>
      </c>
      <c r="N27" s="43"/>
      <c r="O27" s="40">
        <f t="shared" si="5"/>
        <v>0</v>
      </c>
      <c r="Q27" s="43"/>
    </row>
    <row r="28" spans="1:17" ht="30" x14ac:dyDescent="0.2">
      <c r="A28" s="55"/>
      <c r="B28" s="29">
        <v>910794</v>
      </c>
      <c r="C28" s="14" t="s">
        <v>41</v>
      </c>
      <c r="D28" s="14" t="s">
        <v>42</v>
      </c>
      <c r="E28" s="15" t="s">
        <v>46</v>
      </c>
      <c r="F28" s="16">
        <v>0</v>
      </c>
      <c r="G28" s="16">
        <v>50</v>
      </c>
      <c r="H28" s="16">
        <v>0</v>
      </c>
      <c r="I28" s="16">
        <v>-6</v>
      </c>
      <c r="J28" s="16">
        <v>11</v>
      </c>
      <c r="K28" s="16">
        <v>55</v>
      </c>
      <c r="L28" s="17">
        <f t="shared" si="1"/>
        <v>110</v>
      </c>
      <c r="M28" s="6" t="s">
        <v>61</v>
      </c>
      <c r="N28" s="40">
        <v>0</v>
      </c>
      <c r="O28" s="40">
        <f t="shared" si="5"/>
        <v>220</v>
      </c>
      <c r="Q28" s="40">
        <v>0</v>
      </c>
    </row>
    <row r="29" spans="1:17" ht="15.75" x14ac:dyDescent="0.2">
      <c r="A29" s="19"/>
      <c r="B29" s="30"/>
      <c r="C29" s="20"/>
      <c r="D29" s="20"/>
      <c r="E29" s="21"/>
      <c r="F29" s="22">
        <f>SUM(F13:F28)</f>
        <v>412.17925000000002</v>
      </c>
      <c r="G29" s="22">
        <f>SUM(G13:G28)</f>
        <v>462.06211999999999</v>
      </c>
      <c r="H29" s="22">
        <f>SUM(H13:H28)</f>
        <v>459.07199999999995</v>
      </c>
      <c r="I29" s="22">
        <f>SUM(I13:I28)</f>
        <v>493.01399999999995</v>
      </c>
      <c r="J29" s="22">
        <f t="shared" ref="J29:K29" si="8">SUM(J13:J28)</f>
        <v>625.24600000000009</v>
      </c>
      <c r="K29" s="22">
        <f t="shared" si="8"/>
        <v>400.32379999999995</v>
      </c>
      <c r="L29" s="22">
        <f>SUM(L13:L28)</f>
        <v>2851.8971700000002</v>
      </c>
      <c r="M29" s="3"/>
      <c r="N29" s="22">
        <f>SUM(N13:N28)</f>
        <v>3424.9944999999998</v>
      </c>
      <c r="O29" s="22">
        <f>SUM(O13:O28)</f>
        <v>5614.5563400000001</v>
      </c>
      <c r="Q29" s="22">
        <f>SUM(Q13:Q28)</f>
        <v>1335.1880000000001</v>
      </c>
    </row>
    <row r="30" spans="1:17" x14ac:dyDescent="0.2">
      <c r="A30" s="24"/>
      <c r="B30" s="31"/>
      <c r="C30" s="25"/>
      <c r="D30" s="25"/>
      <c r="E30" s="25"/>
      <c r="F30" s="36"/>
      <c r="G30" s="36"/>
      <c r="H30" s="36"/>
      <c r="I30" s="36"/>
      <c r="J30" s="36"/>
      <c r="K30" s="36"/>
      <c r="L30" s="36"/>
      <c r="M30" s="4"/>
      <c r="N30" s="36"/>
      <c r="O30" s="36"/>
      <c r="Q30" s="36"/>
    </row>
    <row r="31" spans="1:17" ht="15.75" x14ac:dyDescent="0.2">
      <c r="A31" s="11"/>
      <c r="B31" s="28"/>
      <c r="C31" s="12"/>
      <c r="D31" s="12"/>
      <c r="E31" s="12"/>
      <c r="F31" s="37">
        <f>F9+F12+F29</f>
        <v>1076.2652499999999</v>
      </c>
      <c r="G31" s="37">
        <f>G9+G12+G29</f>
        <v>1113.7141200000001</v>
      </c>
      <c r="H31" s="37">
        <f>H9+H12+H29</f>
        <v>1187.164</v>
      </c>
      <c r="I31" s="37">
        <f>I9+I12+I29</f>
        <v>1122.99</v>
      </c>
      <c r="J31" s="37">
        <f t="shared" ref="J31:K31" si="9">J9+J12+J29</f>
        <v>1231.2150000000001</v>
      </c>
      <c r="K31" s="37">
        <f t="shared" si="9"/>
        <v>914.66079999999988</v>
      </c>
      <c r="L31" s="37">
        <f>L9+L12+L29</f>
        <v>6646.0091700000003</v>
      </c>
      <c r="M31" s="5"/>
      <c r="N31" s="37">
        <f>N9+N12+N29</f>
        <v>9436.9945000000007</v>
      </c>
      <c r="O31" s="37">
        <f>O9+O12+O29</f>
        <v>13007.870340000001</v>
      </c>
      <c r="Q31" s="37">
        <f>Q9+Q12+Q29</f>
        <v>4567.5309999999999</v>
      </c>
    </row>
    <row r="34" spans="12:12" x14ac:dyDescent="0.2">
      <c r="L34" s="38"/>
    </row>
  </sheetData>
  <customSheetViews>
    <customSheetView guid="{05F31C55-5A63-4185-94EE-3B86EBC7BC06}" showGridLines="0" fitToPage="1" hiddenRows="1" state="hidden">
      <pane xSplit="4" ySplit="3" topLeftCell="F17" activePane="bottomRight" state="frozen"/>
      <selection pane="bottomRight" activeCell="M17" sqref="M17"/>
      <pageMargins left="0.70866141732283472" right="0.70866141732283472" top="0.74803149606299213" bottom="0.74803149606299213" header="0.31496062992125984" footer="0.31496062992125984"/>
      <pageSetup paperSize="9" scale="45" orientation="landscape" r:id="rId1"/>
    </customSheetView>
    <customSheetView guid="{D9EC4BC1-BE33-4151-9050-6DA46362DD72}" showPageBreaks="1" showGridLines="0" fitToPage="1" printArea="1" hiddenRows="1" state="hidden">
      <pane xSplit="4" ySplit="3" topLeftCell="F17" activePane="bottomRight" state="frozen"/>
      <selection pane="bottomRight" activeCell="M17" sqref="M17"/>
      <pageMargins left="0.70866141732283472" right="0.70866141732283472" top="0.74803149606299213" bottom="0.74803149606299213" header="0.31496062992125984" footer="0.31496062992125984"/>
      <pageSetup paperSize="9" scale="45" orientation="landscape" r:id="rId2"/>
    </customSheetView>
    <customSheetView guid="{F2C32F80-FB90-4698-B60A-BCB68D8E7FC5}" showPageBreaks="1" showGridLines="0" fitToPage="1" printArea="1" showAutoFilter="1" topLeftCell="A5">
      <selection activeCell="K6" sqref="K6"/>
      <pageMargins left="0.70866141732283472" right="0.70866141732283472" top="0.74803149606299213" bottom="0.74803149606299213" header="0.31496062992125984" footer="0.31496062992125984"/>
      <pageSetup paperSize="9" scale="45" orientation="landscape" r:id="rId3"/>
      <autoFilter ref="A3:K29"/>
    </customSheetView>
    <customSheetView guid="{264D8B55-7530-4EF4-A821-1B0295DCB6D5}" showGridLines="0" fitToPage="1" showAutoFilter="1" topLeftCell="B1">
      <selection activeCell="D14" sqref="D14"/>
      <pageMargins left="0.70866141732283472" right="0.70866141732283472" top="0.74803149606299213" bottom="0.74803149606299213" header="0.31496062992125984" footer="0.31496062992125984"/>
      <pageSetup paperSize="9" scale="55" orientation="landscape" r:id="rId4"/>
      <autoFilter ref="A3:J24"/>
    </customSheetView>
    <customSheetView guid="{655C34CC-44B1-4759-8098-B3141745838A}" showGridLines="0" fitToPage="1" showAutoFilter="1" topLeftCell="B1">
      <selection activeCell="K9" sqref="K9:L9"/>
      <pageMargins left="0.70866141732283472" right="0.70866141732283472" top="0.74803149606299213" bottom="0.74803149606299213" header="0.31496062992125984" footer="0.31496062992125984"/>
      <pageSetup paperSize="9" scale="55" orientation="landscape" r:id="rId5"/>
      <autoFilter ref="A3:J24"/>
    </customSheetView>
    <customSheetView guid="{36A56936-6BD8-48DB-9972-30EA71351694}" showPageBreaks="1" showGridLines="0" fitToPage="1" printArea="1" hiddenRows="1">
      <pane xSplit="4" ySplit="3" topLeftCell="E4" activePane="bottomRight" state="frozen"/>
      <selection pane="bottomRight" activeCell="J8" sqref="J8"/>
      <pageMargins left="0.70866141732283472" right="0.70866141732283472" top="0.74803149606299213" bottom="0.74803149606299213" header="0.31496062992125984" footer="0.31496062992125984"/>
      <pageSetup paperSize="9" scale="46" orientation="landscape" r:id="rId6"/>
    </customSheetView>
    <customSheetView guid="{2AD1B604-43C4-4884-A448-D473F1C069AE}" showPageBreaks="1" showGridLines="0" fitToPage="1" printArea="1" hiddenRows="1">
      <pane xSplit="4" ySplit="3" topLeftCell="E19" activePane="bottomRight" state="frozen"/>
      <selection pane="bottomRight" activeCell="C22" sqref="C22"/>
      <pageMargins left="0.70866141732283472" right="0.70866141732283472" top="0.74803149606299213" bottom="0.74803149606299213" header="0.31496062992125984" footer="0.31496062992125984"/>
      <pageSetup paperSize="9" scale="44" orientation="landscape" r:id="rId7"/>
    </customSheetView>
    <customSheetView guid="{7965B42C-9731-4CCD-A2C8-C854AA475CF1}" showPageBreaks="1" showGridLines="0" fitToPage="1" printArea="1" hiddenRows="1">
      <pane xSplit="4" ySplit="3" topLeftCell="E19" activePane="bottomRight" state="frozen"/>
      <selection pane="bottomRight" activeCell="K28" sqref="K28"/>
      <pageMargins left="0.70866141732283472" right="0.70866141732283472" top="0.74803149606299213" bottom="0.74803149606299213" header="0.31496062992125984" footer="0.31496062992125984"/>
      <pageSetup paperSize="9" scale="44" orientation="landscape" r:id="rId8"/>
    </customSheetView>
    <customSheetView guid="{7EB3D213-9298-4B62-AE0C-1089F6E8DF3E}" showGridLines="0" fitToPage="1" hiddenRows="1" state="hidden">
      <pane xSplit="4" ySplit="3" topLeftCell="F17" activePane="bottomRight" state="frozen"/>
      <selection pane="bottomRight" activeCell="M17" sqref="M17"/>
      <pageMargins left="0.70866141732283472" right="0.70866141732283472" top="0.74803149606299213" bottom="0.74803149606299213" header="0.31496062992125984" footer="0.31496062992125984"/>
      <pageSetup paperSize="9" scale="45" orientation="landscape" r:id="rId9"/>
    </customSheetView>
  </customSheetViews>
  <mergeCells count="2">
    <mergeCell ref="A13:A28"/>
    <mergeCell ref="A4:A8"/>
  </mergeCells>
  <pageMargins left="0.70866141732283472" right="0.70866141732283472" top="0.74803149606299213" bottom="0.74803149606299213" header="0.31496062992125984" footer="0.31496062992125984"/>
  <pageSetup paperSize="9" scale="45" orientation="landscape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GridLines="0" tabSelected="1" topLeftCell="A19" zoomScaleNormal="100" workbookViewId="0">
      <selection activeCell="A35" sqref="A35:XFD35"/>
    </sheetView>
  </sheetViews>
  <sheetFormatPr defaultRowHeight="15" x14ac:dyDescent="0.2"/>
  <cols>
    <col min="1" max="1" width="16.6640625" style="26" customWidth="1"/>
    <col min="2" max="2" width="8.109375" style="32" hidden="1" customWidth="1"/>
    <col min="3" max="3" width="20.88671875" style="10" customWidth="1"/>
    <col min="4" max="4" width="15.109375" style="10" customWidth="1"/>
    <col min="5" max="5" width="15.33203125" style="10" customWidth="1"/>
    <col min="6" max="7" width="12.44140625" style="10" customWidth="1"/>
    <col min="8" max="10" width="12.44140625" style="33" customWidth="1"/>
    <col min="11" max="11" width="12.6640625" style="33" customWidth="1"/>
    <col min="12" max="12" width="34.5546875" style="2" customWidth="1"/>
    <col min="13" max="13" width="10.33203125" style="33" bestFit="1" customWidth="1"/>
    <col min="14" max="14" width="10.6640625" style="33" customWidth="1"/>
    <col min="15" max="15" width="2.5546875" style="10" customWidth="1"/>
    <col min="16" max="16" width="8.33203125" style="33" customWidth="1"/>
    <col min="17" max="16384" width="8.88671875" style="10"/>
  </cols>
  <sheetData>
    <row r="1" spans="1:16" x14ac:dyDescent="0.2">
      <c r="A1" s="33"/>
      <c r="B1" s="33"/>
      <c r="C1" s="33"/>
      <c r="D1" s="2"/>
      <c r="E1" s="33"/>
      <c r="G1" s="33"/>
      <c r="H1" s="10"/>
      <c r="I1" s="10"/>
      <c r="J1" s="10"/>
      <c r="K1" s="10"/>
      <c r="L1" s="10"/>
      <c r="M1" s="10"/>
      <c r="N1" s="10"/>
      <c r="P1" s="10"/>
    </row>
    <row r="2" spans="1:16" x14ac:dyDescent="0.2">
      <c r="A2" s="33"/>
      <c r="B2" s="33"/>
      <c r="C2" s="33"/>
      <c r="D2" s="2"/>
      <c r="E2" s="33"/>
      <c r="G2" s="33"/>
      <c r="H2" s="10"/>
      <c r="I2" s="10"/>
      <c r="J2" s="10"/>
      <c r="K2" s="10"/>
      <c r="L2" s="10"/>
      <c r="M2" s="10"/>
      <c r="N2" s="10"/>
      <c r="P2" s="10"/>
    </row>
    <row r="3" spans="1:16" x14ac:dyDescent="0.2">
      <c r="A3" s="52"/>
      <c r="B3" s="33"/>
      <c r="C3" s="33"/>
      <c r="D3" s="2"/>
      <c r="E3" s="33"/>
      <c r="G3" s="33"/>
      <c r="H3" s="10"/>
      <c r="I3" s="10"/>
      <c r="J3" s="10"/>
      <c r="K3" s="10"/>
      <c r="L3" s="10"/>
      <c r="M3" s="10"/>
      <c r="N3" s="10"/>
      <c r="P3" s="10"/>
    </row>
    <row r="4" spans="1:16" x14ac:dyDescent="0.2">
      <c r="A4" s="52"/>
      <c r="B4" s="33"/>
      <c r="C4" s="33"/>
      <c r="D4" s="2"/>
      <c r="E4" s="33"/>
      <c r="G4" s="33"/>
      <c r="H4" s="10"/>
      <c r="I4" s="10"/>
      <c r="J4" s="10"/>
      <c r="K4" s="10"/>
      <c r="L4" s="10"/>
      <c r="M4" s="10"/>
      <c r="N4" s="10"/>
      <c r="P4" s="10"/>
    </row>
    <row r="5" spans="1:16" x14ac:dyDescent="0.2">
      <c r="A5" s="52"/>
      <c r="B5" s="33"/>
      <c r="C5" s="33"/>
      <c r="D5" s="2"/>
      <c r="E5" s="33"/>
      <c r="G5" s="33"/>
      <c r="H5" s="10"/>
      <c r="I5" s="10"/>
      <c r="J5" s="10"/>
      <c r="K5" s="10"/>
      <c r="L5" s="10"/>
      <c r="M5" s="10"/>
      <c r="N5" s="10"/>
      <c r="P5" s="10"/>
    </row>
    <row r="6" spans="1:16" x14ac:dyDescent="0.2">
      <c r="A6" s="52"/>
      <c r="B6" s="33"/>
      <c r="C6" s="33"/>
      <c r="D6" s="2"/>
      <c r="E6" s="33"/>
      <c r="G6" s="33"/>
      <c r="H6" s="10"/>
      <c r="I6" s="10"/>
      <c r="J6" s="10"/>
      <c r="K6" s="10"/>
      <c r="L6" s="10"/>
      <c r="M6" s="10"/>
      <c r="N6" s="10"/>
      <c r="P6" s="10"/>
    </row>
    <row r="7" spans="1:16" x14ac:dyDescent="0.2">
      <c r="A7" s="51"/>
      <c r="B7" s="33"/>
      <c r="C7" s="33"/>
      <c r="D7" s="2"/>
      <c r="E7" s="33"/>
      <c r="G7" s="33"/>
      <c r="H7" s="10"/>
      <c r="I7" s="10"/>
      <c r="J7" s="10"/>
      <c r="K7" s="10"/>
      <c r="L7" s="10"/>
      <c r="M7" s="10"/>
      <c r="N7" s="10"/>
      <c r="P7" s="10"/>
    </row>
    <row r="8" spans="1:16" x14ac:dyDescent="0.2">
      <c r="A8" s="52"/>
      <c r="B8" s="33"/>
      <c r="C8" s="33"/>
      <c r="D8" s="2"/>
      <c r="E8" s="33"/>
      <c r="G8" s="33"/>
      <c r="H8" s="10"/>
      <c r="I8" s="10"/>
      <c r="J8" s="10"/>
      <c r="K8" s="10"/>
      <c r="L8" s="10"/>
      <c r="M8" s="10"/>
      <c r="N8" s="10"/>
      <c r="P8" s="10"/>
    </row>
    <row r="9" spans="1:16" x14ac:dyDescent="0.2">
      <c r="A9" s="52"/>
      <c r="B9" s="33"/>
      <c r="C9" s="33"/>
      <c r="D9" s="2"/>
      <c r="E9" s="33"/>
      <c r="G9" s="33"/>
      <c r="H9" s="10"/>
      <c r="I9" s="10"/>
      <c r="J9" s="10"/>
      <c r="K9" s="10"/>
      <c r="L9" s="10"/>
      <c r="M9" s="10"/>
      <c r="N9" s="10"/>
      <c r="P9" s="10"/>
    </row>
    <row r="10" spans="1:16" ht="30.75" customHeight="1" x14ac:dyDescent="0.25">
      <c r="A10" s="59" t="s">
        <v>101</v>
      </c>
      <c r="B10" s="59"/>
      <c r="C10" s="59"/>
      <c r="D10" s="59"/>
      <c r="E10" s="47"/>
    </row>
    <row r="12" spans="1:16" ht="83.25" customHeight="1" x14ac:dyDescent="0.2">
      <c r="A12" s="11" t="s">
        <v>93</v>
      </c>
      <c r="B12" s="28" t="s">
        <v>36</v>
      </c>
      <c r="C12" s="12" t="s">
        <v>0</v>
      </c>
      <c r="D12" s="12" t="s">
        <v>97</v>
      </c>
      <c r="E12" s="49" t="s">
        <v>94</v>
      </c>
      <c r="F12" s="49" t="s">
        <v>95</v>
      </c>
      <c r="G12" s="49" t="s">
        <v>96</v>
      </c>
      <c r="H12" s="49" t="s">
        <v>99</v>
      </c>
      <c r="I12" s="49" t="s">
        <v>100</v>
      </c>
      <c r="J12" s="50" t="s">
        <v>96</v>
      </c>
      <c r="K12" s="50" t="s">
        <v>98</v>
      </c>
      <c r="L12"/>
      <c r="M12"/>
      <c r="N12"/>
      <c r="O12"/>
      <c r="P12"/>
    </row>
    <row r="13" spans="1:16" ht="30" x14ac:dyDescent="0.2">
      <c r="A13" s="44" t="s">
        <v>26</v>
      </c>
      <c r="B13" s="39" t="s">
        <v>75</v>
      </c>
      <c r="C13" s="14" t="s">
        <v>76</v>
      </c>
      <c r="D13" s="14" t="s">
        <v>22</v>
      </c>
      <c r="E13" s="15">
        <v>130</v>
      </c>
      <c r="F13" s="15">
        <v>373</v>
      </c>
      <c r="G13" s="15">
        <f>SUM(E13:F13)</f>
        <v>503</v>
      </c>
      <c r="H13" s="16">
        <f>SUM('By month'!F4:H4)</f>
        <v>17.614000000000001</v>
      </c>
      <c r="I13" s="16">
        <f>SUM('By month'!I4:K4)</f>
        <v>36.192999999999998</v>
      </c>
      <c r="J13" s="17">
        <f>SUM(H13:I13)</f>
        <v>53.807000000000002</v>
      </c>
      <c r="K13" s="17">
        <f>+G13+J13</f>
        <v>556.80700000000002</v>
      </c>
      <c r="L13"/>
      <c r="M13"/>
      <c r="N13"/>
      <c r="O13"/>
      <c r="P13"/>
    </row>
    <row r="14" spans="1:16" ht="25.5" customHeight="1" x14ac:dyDescent="0.2">
      <c r="A14" s="45"/>
      <c r="B14" s="29">
        <v>910173</v>
      </c>
      <c r="C14" s="14" t="s">
        <v>35</v>
      </c>
      <c r="D14" s="14" t="s">
        <v>34</v>
      </c>
      <c r="E14" s="15">
        <v>99</v>
      </c>
      <c r="F14" s="15">
        <v>91</v>
      </c>
      <c r="G14" s="15">
        <f>SUM(E14:F14)</f>
        <v>190</v>
      </c>
      <c r="H14" s="16">
        <f>SUM('By month'!F5:H5)</f>
        <v>101.577</v>
      </c>
      <c r="I14" s="16">
        <f>SUM('By month'!I5:K5)</f>
        <v>86.265000000000001</v>
      </c>
      <c r="J14" s="17">
        <f>SUM(H14:I14)</f>
        <v>187.84199999999998</v>
      </c>
      <c r="K14" s="17">
        <f>+G14+J14</f>
        <v>377.84199999999998</v>
      </c>
      <c r="L14"/>
      <c r="M14"/>
      <c r="N14"/>
      <c r="O14"/>
      <c r="P14"/>
    </row>
    <row r="15" spans="1:16" ht="30" x14ac:dyDescent="0.2">
      <c r="A15" s="45"/>
      <c r="B15" s="29">
        <v>909986</v>
      </c>
      <c r="C15" s="15" t="s">
        <v>37</v>
      </c>
      <c r="D15" s="14" t="s">
        <v>24</v>
      </c>
      <c r="E15" s="15">
        <v>45</v>
      </c>
      <c r="F15" s="15">
        <v>29</v>
      </c>
      <c r="G15" s="15">
        <f>SUM(E15:F15)</f>
        <v>74</v>
      </c>
      <c r="H15" s="16">
        <f>SUM('By month'!F6:H6)</f>
        <v>28.777999999999999</v>
      </c>
      <c r="I15" s="16">
        <f>SUM('By month'!I6:K6)</f>
        <v>96.650999999999996</v>
      </c>
      <c r="J15" s="17">
        <f>SUM(H15:I15)</f>
        <v>125.429</v>
      </c>
      <c r="K15" s="17">
        <f>+G15+J15</f>
        <v>199.429</v>
      </c>
      <c r="L15"/>
      <c r="M15"/>
      <c r="N15"/>
      <c r="O15"/>
      <c r="P15"/>
    </row>
    <row r="16" spans="1:16" ht="15.75" x14ac:dyDescent="0.2">
      <c r="A16" s="19"/>
      <c r="B16" s="30"/>
      <c r="C16" s="20"/>
      <c r="D16" s="20"/>
      <c r="E16" s="22">
        <f t="shared" ref="E16:G16" si="0">SUM(E13:E15)</f>
        <v>274</v>
      </c>
      <c r="F16" s="22">
        <f t="shared" si="0"/>
        <v>493</v>
      </c>
      <c r="G16" s="22">
        <f t="shared" si="0"/>
        <v>767</v>
      </c>
      <c r="H16" s="22">
        <f>SUM(H13:H15)</f>
        <v>147.96899999999999</v>
      </c>
      <c r="I16" s="22">
        <f>SUM(I13:I15)</f>
        <v>219.10899999999998</v>
      </c>
      <c r="J16" s="22">
        <f>SUM(J13:J15)</f>
        <v>367.07799999999997</v>
      </c>
      <c r="K16" s="22">
        <f>SUM(K13:K15)</f>
        <v>1134.078</v>
      </c>
      <c r="L16"/>
      <c r="M16"/>
      <c r="N16"/>
      <c r="O16"/>
      <c r="P16"/>
    </row>
    <row r="17" spans="1:16" ht="45" x14ac:dyDescent="0.2">
      <c r="A17" s="23" t="s">
        <v>29</v>
      </c>
      <c r="B17" s="29">
        <v>909419</v>
      </c>
      <c r="C17" s="14" t="s">
        <v>10</v>
      </c>
      <c r="D17" s="14" t="s">
        <v>24</v>
      </c>
      <c r="E17" s="15">
        <v>250</v>
      </c>
      <c r="F17" s="15">
        <v>197</v>
      </c>
      <c r="G17" s="15">
        <f t="shared" ref="G17:G18" si="1">SUM(E17:F17)</f>
        <v>447</v>
      </c>
      <c r="H17" s="16">
        <f>SUM('By month'!F10:H10)</f>
        <v>197.10000000000002</v>
      </c>
      <c r="I17" s="16">
        <f>SUM('By month'!I10:K10)</f>
        <v>-2.19</v>
      </c>
      <c r="J17" s="17">
        <f>SUM(H17:I17)</f>
        <v>194.91000000000003</v>
      </c>
      <c r="K17" s="17">
        <f>+G17+J17</f>
        <v>641.91000000000008</v>
      </c>
      <c r="L17"/>
      <c r="M17"/>
      <c r="N17"/>
      <c r="O17"/>
      <c r="P17"/>
    </row>
    <row r="18" spans="1:16" x14ac:dyDescent="0.2">
      <c r="A18" s="23"/>
      <c r="B18" s="29">
        <v>909419</v>
      </c>
      <c r="C18" s="14" t="s">
        <v>10</v>
      </c>
      <c r="D18" s="14" t="s">
        <v>24</v>
      </c>
      <c r="E18" s="15">
        <v>105</v>
      </c>
      <c r="F18" s="15">
        <v>199</v>
      </c>
      <c r="G18" s="15">
        <f t="shared" si="1"/>
        <v>304</v>
      </c>
      <c r="H18" s="16">
        <f>SUM('By month'!F11:H11)</f>
        <v>210.68</v>
      </c>
      <c r="I18" s="16">
        <f>SUM('By month'!I11:K11)</f>
        <v>202.321</v>
      </c>
      <c r="J18" s="17">
        <f>SUM(H18:I18)</f>
        <v>413.00099999999998</v>
      </c>
      <c r="K18" s="17">
        <f>+G18+J18</f>
        <v>717.00099999999998</v>
      </c>
      <c r="L18"/>
      <c r="M18"/>
      <c r="N18"/>
      <c r="O18"/>
      <c r="P18"/>
    </row>
    <row r="19" spans="1:16" ht="15.75" x14ac:dyDescent="0.2">
      <c r="A19" s="19"/>
      <c r="B19" s="30"/>
      <c r="C19" s="20"/>
      <c r="D19" s="20"/>
      <c r="E19" s="22">
        <f t="shared" ref="E19:G19" si="2">SUM(E17:E18)</f>
        <v>355</v>
      </c>
      <c r="F19" s="22">
        <f t="shared" si="2"/>
        <v>396</v>
      </c>
      <c r="G19" s="22">
        <f t="shared" si="2"/>
        <v>751</v>
      </c>
      <c r="H19" s="22">
        <f>SUM(H17:H18)</f>
        <v>407.78000000000003</v>
      </c>
      <c r="I19" s="22">
        <f t="shared" ref="I19:K19" si="3">SUM(I17:I18)</f>
        <v>200.131</v>
      </c>
      <c r="J19" s="22">
        <f t="shared" si="3"/>
        <v>607.91100000000006</v>
      </c>
      <c r="K19" s="22">
        <f t="shared" si="3"/>
        <v>1358.9110000000001</v>
      </c>
      <c r="L19"/>
      <c r="M19"/>
      <c r="N19"/>
      <c r="O19"/>
      <c r="P19"/>
    </row>
    <row r="20" spans="1:16" x14ac:dyDescent="0.2">
      <c r="A20" s="46" t="s">
        <v>27</v>
      </c>
      <c r="B20" s="29">
        <v>903606</v>
      </c>
      <c r="C20" s="14" t="s">
        <v>6</v>
      </c>
      <c r="D20" s="14" t="s">
        <v>24</v>
      </c>
      <c r="E20" s="15">
        <v>317</v>
      </c>
      <c r="F20" s="15">
        <f>118+198+150</f>
        <v>466</v>
      </c>
      <c r="G20" s="15">
        <f t="shared" ref="G20:G23" si="4">SUM(E20:F20)</f>
        <v>783</v>
      </c>
      <c r="H20" s="16">
        <f>SUM('By month'!F13:H13)</f>
        <v>532.32500000000005</v>
      </c>
      <c r="I20" s="16">
        <f>SUM('By month'!I13:K13)</f>
        <v>362.68399999999997</v>
      </c>
      <c r="J20" s="17">
        <f>SUM(H20:I20)</f>
        <v>895.00900000000001</v>
      </c>
      <c r="K20" s="17">
        <f>+G20+J20</f>
        <v>1678.009</v>
      </c>
      <c r="L20"/>
      <c r="M20"/>
      <c r="N20"/>
      <c r="O20"/>
      <c r="P20"/>
    </row>
    <row r="21" spans="1:16" x14ac:dyDescent="0.2">
      <c r="A21" s="45"/>
      <c r="B21" s="29">
        <v>903606</v>
      </c>
      <c r="C21" s="14" t="s">
        <v>6</v>
      </c>
      <c r="D21" s="14" t="s">
        <v>24</v>
      </c>
      <c r="E21" s="15">
        <f>238-80</f>
        <v>158</v>
      </c>
      <c r="F21" s="15">
        <v>60</v>
      </c>
      <c r="G21" s="15">
        <f t="shared" si="4"/>
        <v>218</v>
      </c>
      <c r="H21" s="16">
        <f>SUM('By month'!F14:H14)</f>
        <v>70.599999999999994</v>
      </c>
      <c r="I21" s="16">
        <f>SUM('By month'!I14:K14)</f>
        <v>100.15700000000001</v>
      </c>
      <c r="J21" s="17">
        <f>SUM(H21:I21)</f>
        <v>170.75700000000001</v>
      </c>
      <c r="K21" s="17">
        <f>+G21+J21</f>
        <v>388.75700000000001</v>
      </c>
      <c r="L21"/>
      <c r="M21"/>
      <c r="N21"/>
      <c r="O21"/>
      <c r="P21"/>
    </row>
    <row r="22" spans="1:16" x14ac:dyDescent="0.2">
      <c r="A22" s="45"/>
      <c r="B22" s="29">
        <v>59874</v>
      </c>
      <c r="C22" s="14" t="s">
        <v>2</v>
      </c>
      <c r="D22" s="14" t="s">
        <v>21</v>
      </c>
      <c r="E22" s="15">
        <v>20</v>
      </c>
      <c r="F22" s="15">
        <v>18</v>
      </c>
      <c r="G22" s="15">
        <f t="shared" si="4"/>
        <v>38</v>
      </c>
      <c r="H22" s="16">
        <f>SUM('By month'!F15:H15)</f>
        <v>27.260999999999999</v>
      </c>
      <c r="I22" s="16">
        <f>SUM('By month'!I15:K15)</f>
        <v>79.186200000000014</v>
      </c>
      <c r="J22" s="17">
        <f>SUM(H22:I22)</f>
        <v>106.44720000000001</v>
      </c>
      <c r="K22" s="17">
        <f>+G22+J22</f>
        <v>144.44720000000001</v>
      </c>
      <c r="L22"/>
      <c r="M22"/>
      <c r="N22"/>
      <c r="O22"/>
      <c r="P22"/>
    </row>
    <row r="23" spans="1:16" ht="23.25" customHeight="1" x14ac:dyDescent="0.2">
      <c r="A23" s="45"/>
      <c r="B23" s="29">
        <v>59874</v>
      </c>
      <c r="C23" s="14" t="s">
        <v>2</v>
      </c>
      <c r="D23" s="14" t="s">
        <v>38</v>
      </c>
      <c r="E23" s="15">
        <v>96</v>
      </c>
      <c r="F23" s="15">
        <v>6</v>
      </c>
      <c r="G23" s="15">
        <f t="shared" si="4"/>
        <v>102</v>
      </c>
      <c r="H23" s="16">
        <f>SUM('By month'!F16:H16)</f>
        <v>30</v>
      </c>
      <c r="I23" s="16">
        <f>SUM('By month'!I16:K16)</f>
        <v>161.51160000000002</v>
      </c>
      <c r="J23" s="17">
        <f>SUM(H23:I23)</f>
        <v>191.51160000000002</v>
      </c>
      <c r="K23" s="17">
        <f>+G23+J23</f>
        <v>293.51160000000004</v>
      </c>
      <c r="L23"/>
      <c r="M23"/>
      <c r="N23"/>
      <c r="O23"/>
      <c r="P23"/>
    </row>
    <row r="24" spans="1:16" x14ac:dyDescent="0.2">
      <c r="A24" s="45"/>
      <c r="B24" s="29">
        <v>909960</v>
      </c>
      <c r="C24" s="14" t="s">
        <v>7</v>
      </c>
      <c r="D24" s="14" t="s">
        <v>24</v>
      </c>
      <c r="E24" s="15">
        <v>104</v>
      </c>
      <c r="F24" s="15">
        <v>120</v>
      </c>
      <c r="G24" s="15">
        <f t="shared" ref="G24:G32" si="5">SUM(E24:F24)</f>
        <v>224</v>
      </c>
      <c r="H24" s="16">
        <f>SUM('By month'!F17:H17)</f>
        <v>76.307000000000002</v>
      </c>
      <c r="I24" s="16">
        <f>SUM('By month'!I17:K17)</f>
        <v>53.370000000000005</v>
      </c>
      <c r="J24" s="17">
        <f>SUM(H24:I24)</f>
        <v>129.67700000000002</v>
      </c>
      <c r="K24" s="17">
        <f>+G24+J24</f>
        <v>353.67700000000002</v>
      </c>
      <c r="L24"/>
      <c r="M24"/>
      <c r="N24"/>
      <c r="O24"/>
      <c r="P24"/>
    </row>
    <row r="25" spans="1:16" ht="21.75" customHeight="1" x14ac:dyDescent="0.2">
      <c r="A25" s="45"/>
      <c r="B25" s="29">
        <v>911248</v>
      </c>
      <c r="C25" s="14" t="s">
        <v>32</v>
      </c>
      <c r="D25" s="14" t="s">
        <v>31</v>
      </c>
      <c r="E25" s="15">
        <v>92</v>
      </c>
      <c r="F25" s="15">
        <v>88</v>
      </c>
      <c r="G25" s="15">
        <f t="shared" si="5"/>
        <v>180</v>
      </c>
      <c r="H25" s="16">
        <f>SUM('By month'!F18:H18)</f>
        <v>135.24599999999998</v>
      </c>
      <c r="I25" s="16">
        <f>SUM('By month'!I18:K18)</f>
        <v>169.37300000000002</v>
      </c>
      <c r="J25" s="17">
        <f>SUM(H25:I25)</f>
        <v>304.61900000000003</v>
      </c>
      <c r="K25" s="17">
        <f>+G25+J25</f>
        <v>484.61900000000003</v>
      </c>
      <c r="L25"/>
      <c r="M25"/>
      <c r="N25"/>
      <c r="O25"/>
      <c r="P25"/>
    </row>
    <row r="26" spans="1:16" ht="21" customHeight="1" x14ac:dyDescent="0.2">
      <c r="A26" s="45"/>
      <c r="B26" s="29">
        <v>910447</v>
      </c>
      <c r="C26" s="14" t="s">
        <v>18</v>
      </c>
      <c r="D26" s="14" t="s">
        <v>30</v>
      </c>
      <c r="E26" s="15">
        <v>0</v>
      </c>
      <c r="F26" s="15">
        <v>0</v>
      </c>
      <c r="G26" s="15">
        <f t="shared" si="5"/>
        <v>0</v>
      </c>
      <c r="H26" s="16">
        <f>SUM('By month'!F19:H19)</f>
        <v>0.19400000000000001</v>
      </c>
      <c r="I26" s="16">
        <f>SUM('By month'!I19:K19)</f>
        <v>0</v>
      </c>
      <c r="J26" s="17">
        <f>SUM(H26:I26)</f>
        <v>0.19400000000000001</v>
      </c>
      <c r="K26" s="17">
        <f>+G26+J26</f>
        <v>0.19400000000000001</v>
      </c>
      <c r="L26"/>
      <c r="M26"/>
      <c r="N26"/>
      <c r="O26"/>
      <c r="P26"/>
    </row>
    <row r="27" spans="1:16" ht="24" customHeight="1" x14ac:dyDescent="0.2">
      <c r="A27" s="45"/>
      <c r="B27" s="29">
        <v>909475</v>
      </c>
      <c r="C27" s="14" t="s">
        <v>69</v>
      </c>
      <c r="D27" s="14" t="s">
        <v>65</v>
      </c>
      <c r="E27" s="15">
        <v>271</v>
      </c>
      <c r="F27" s="15">
        <v>312</v>
      </c>
      <c r="G27" s="15">
        <f t="shared" si="5"/>
        <v>583</v>
      </c>
      <c r="H27" s="16">
        <f>SUM('By month'!F20:H20)</f>
        <v>258.75</v>
      </c>
      <c r="I27" s="16">
        <f>SUM('By month'!I20:K20)</f>
        <v>307.18799999999999</v>
      </c>
      <c r="J27" s="17">
        <f>SUM(H27:I27)</f>
        <v>565.93799999999999</v>
      </c>
      <c r="K27" s="17">
        <f>+G27+J27</f>
        <v>1148.9380000000001</v>
      </c>
      <c r="L27"/>
      <c r="M27"/>
      <c r="N27"/>
      <c r="O27"/>
      <c r="P27"/>
    </row>
    <row r="28" spans="1:16" ht="24.75" customHeight="1" x14ac:dyDescent="0.2">
      <c r="A28" s="45"/>
      <c r="B28" s="29">
        <v>909566</v>
      </c>
      <c r="C28" s="14" t="s">
        <v>68</v>
      </c>
      <c r="D28" s="14" t="s">
        <v>65</v>
      </c>
      <c r="E28" s="15">
        <v>0</v>
      </c>
      <c r="F28" s="15">
        <v>0</v>
      </c>
      <c r="G28" s="15">
        <f t="shared" si="5"/>
        <v>0</v>
      </c>
      <c r="H28" s="16">
        <f>SUM('By month'!F21:H21)</f>
        <v>118.83837</v>
      </c>
      <c r="I28" s="16">
        <f>SUM('By month'!I21:K21)</f>
        <v>149.453</v>
      </c>
      <c r="J28" s="17">
        <f>SUM(H28:I28)</f>
        <v>268.29137000000003</v>
      </c>
      <c r="K28" s="17">
        <f>+G28+J28</f>
        <v>268.29137000000003</v>
      </c>
      <c r="L28"/>
      <c r="M28"/>
      <c r="N28"/>
      <c r="O28"/>
      <c r="P28"/>
    </row>
    <row r="29" spans="1:16" ht="38.25" customHeight="1" x14ac:dyDescent="0.2">
      <c r="A29" s="45"/>
      <c r="B29" s="29"/>
      <c r="C29" s="1" t="s">
        <v>16</v>
      </c>
      <c r="D29" s="1" t="s">
        <v>24</v>
      </c>
      <c r="E29" s="15">
        <v>18</v>
      </c>
      <c r="F29" s="15">
        <v>3</v>
      </c>
      <c r="G29" s="15">
        <f t="shared" si="5"/>
        <v>21</v>
      </c>
      <c r="H29" s="16">
        <f>SUM('By month'!F22:H22)</f>
        <v>15.399999999999999</v>
      </c>
      <c r="I29" s="16">
        <f>SUM('By month'!I22:K22)</f>
        <v>12.264999999999999</v>
      </c>
      <c r="J29" s="17">
        <f>SUM(H29:I29)</f>
        <v>27.664999999999999</v>
      </c>
      <c r="K29" s="17">
        <f>+G29+J29</f>
        <v>48.664999999999999</v>
      </c>
      <c r="L29"/>
      <c r="M29"/>
      <c r="N29"/>
      <c r="O29"/>
      <c r="P29"/>
    </row>
    <row r="30" spans="1:16" x14ac:dyDescent="0.2">
      <c r="A30" s="45"/>
      <c r="B30" s="29">
        <v>910391</v>
      </c>
      <c r="C30" s="14" t="s">
        <v>4</v>
      </c>
      <c r="D30" s="14" t="s">
        <v>23</v>
      </c>
      <c r="E30" s="15">
        <v>17</v>
      </c>
      <c r="F30" s="15">
        <v>13</v>
      </c>
      <c r="G30" s="15">
        <f t="shared" si="5"/>
        <v>30</v>
      </c>
      <c r="H30" s="16">
        <f>SUM('By month'!F23:H23)</f>
        <v>2.8000000000000007</v>
      </c>
      <c r="I30" s="16">
        <f>SUM('By month'!I23:K23)</f>
        <v>9.8000000000000007</v>
      </c>
      <c r="J30" s="17">
        <f>SUM(H30:I30)</f>
        <v>12.600000000000001</v>
      </c>
      <c r="K30" s="17">
        <f>+G30+J30</f>
        <v>42.6</v>
      </c>
      <c r="L30"/>
      <c r="M30"/>
      <c r="N30"/>
      <c r="O30"/>
      <c r="P30"/>
    </row>
    <row r="31" spans="1:16" x14ac:dyDescent="0.2">
      <c r="A31" s="45"/>
      <c r="B31" s="29">
        <v>909568</v>
      </c>
      <c r="C31" s="14" t="s">
        <v>9</v>
      </c>
      <c r="D31" s="14" t="s">
        <v>28</v>
      </c>
      <c r="E31" s="15">
        <v>10</v>
      </c>
      <c r="F31" s="15">
        <v>14</v>
      </c>
      <c r="G31" s="15">
        <f t="shared" si="5"/>
        <v>24</v>
      </c>
      <c r="H31" s="16">
        <f>SUM('By month'!F24:H24)</f>
        <v>15.591999999999999</v>
      </c>
      <c r="I31" s="16">
        <f>SUM('By month'!I24:K24)</f>
        <v>19.524000000000001</v>
      </c>
      <c r="J31" s="17">
        <f>SUM(H31:I31)</f>
        <v>35.116</v>
      </c>
      <c r="K31" s="17">
        <f>+G31+J31</f>
        <v>59.116</v>
      </c>
      <c r="L31"/>
      <c r="M31"/>
      <c r="N31"/>
      <c r="O31"/>
      <c r="P31"/>
    </row>
    <row r="32" spans="1:16" x14ac:dyDescent="0.2">
      <c r="A32" s="45"/>
      <c r="B32" s="29">
        <v>904754</v>
      </c>
      <c r="C32" s="14" t="s">
        <v>39</v>
      </c>
      <c r="D32" s="14" t="s">
        <v>38</v>
      </c>
      <c r="E32" s="15">
        <v>43</v>
      </c>
      <c r="F32" s="15">
        <v>20</v>
      </c>
      <c r="G32" s="15">
        <f t="shared" si="5"/>
        <v>63</v>
      </c>
      <c r="H32" s="16">
        <f>SUM('By month'!F26:H26)</f>
        <v>0</v>
      </c>
      <c r="I32" s="16">
        <f>SUM('By month'!I26:K26)</f>
        <v>34.072000000000003</v>
      </c>
      <c r="J32" s="17">
        <f>SUM(H32:I32)</f>
        <v>34.072000000000003</v>
      </c>
      <c r="K32" s="17">
        <f>+G32+J32</f>
        <v>97.072000000000003</v>
      </c>
      <c r="L32"/>
      <c r="M32"/>
      <c r="N32"/>
      <c r="O32"/>
      <c r="P32"/>
    </row>
    <row r="33" spans="1:16" x14ac:dyDescent="0.2">
      <c r="A33" s="45"/>
      <c r="B33" s="29">
        <v>910794</v>
      </c>
      <c r="C33" s="14" t="s">
        <v>41</v>
      </c>
      <c r="D33" s="14" t="s">
        <v>42</v>
      </c>
      <c r="E33" s="15">
        <v>0</v>
      </c>
      <c r="F33" s="15">
        <v>68</v>
      </c>
      <c r="G33" s="15">
        <f>SUM(E33:F33)</f>
        <v>68</v>
      </c>
      <c r="H33" s="16">
        <f>SUM('By month'!F28:H28)</f>
        <v>50</v>
      </c>
      <c r="I33" s="16">
        <f>SUM('By month'!I28:K28)</f>
        <v>60</v>
      </c>
      <c r="J33" s="17">
        <f>SUM(H33:I33)</f>
        <v>110</v>
      </c>
      <c r="K33" s="17">
        <f>+G33+J33</f>
        <v>178</v>
      </c>
      <c r="L33"/>
      <c r="M33"/>
      <c r="N33"/>
      <c r="O33"/>
      <c r="P33"/>
    </row>
    <row r="34" spans="1:16" ht="15.75" x14ac:dyDescent="0.2">
      <c r="A34" s="19"/>
      <c r="B34" s="30"/>
      <c r="C34" s="20"/>
      <c r="D34" s="20"/>
      <c r="E34" s="22">
        <f t="shared" ref="E34:K34" si="6">SUM(E20:E33)</f>
        <v>1146</v>
      </c>
      <c r="F34" s="22">
        <f t="shared" si="6"/>
        <v>1188</v>
      </c>
      <c r="G34" s="22">
        <f t="shared" si="6"/>
        <v>2334</v>
      </c>
      <c r="H34" s="22">
        <f t="shared" si="6"/>
        <v>1333.3133700000001</v>
      </c>
      <c r="I34" s="22">
        <f t="shared" si="6"/>
        <v>1518.5838000000003</v>
      </c>
      <c r="J34" s="22">
        <f t="shared" si="6"/>
        <v>2851.8971700000002</v>
      </c>
      <c r="K34" s="22">
        <f t="shared" si="6"/>
        <v>5185.8971700000002</v>
      </c>
      <c r="L34"/>
      <c r="M34"/>
      <c r="N34"/>
      <c r="O34"/>
      <c r="P34"/>
    </row>
    <row r="35" spans="1:16" ht="15.75" x14ac:dyDescent="0.2">
      <c r="A35" s="11" t="s">
        <v>92</v>
      </c>
      <c r="B35" s="28"/>
      <c r="C35" s="12"/>
      <c r="D35" s="12"/>
      <c r="E35" s="37">
        <f t="shared" ref="E35:K35" si="7">E16+E19+E34</f>
        <v>1775</v>
      </c>
      <c r="F35" s="37">
        <f t="shared" si="7"/>
        <v>2077</v>
      </c>
      <c r="G35" s="37">
        <f t="shared" si="7"/>
        <v>3852</v>
      </c>
      <c r="H35" s="37">
        <f t="shared" si="7"/>
        <v>1889.0623700000001</v>
      </c>
      <c r="I35" s="37">
        <f t="shared" si="7"/>
        <v>1937.8238000000003</v>
      </c>
      <c r="J35" s="37">
        <f t="shared" si="7"/>
        <v>3826.8861700000002</v>
      </c>
      <c r="K35" s="37">
        <f t="shared" si="7"/>
        <v>7678.8861699999998</v>
      </c>
      <c r="L35"/>
      <c r="M35"/>
      <c r="N35"/>
      <c r="O35"/>
      <c r="P35"/>
    </row>
    <row r="36" spans="1:16" x14ac:dyDescent="0.2">
      <c r="L36"/>
      <c r="M36"/>
      <c r="N36"/>
      <c r="O36"/>
      <c r="P36"/>
    </row>
    <row r="37" spans="1:16" x14ac:dyDescent="0.2">
      <c r="L37"/>
      <c r="M37"/>
      <c r="N37"/>
      <c r="O37"/>
      <c r="P37"/>
    </row>
    <row r="38" spans="1:16" x14ac:dyDescent="0.2">
      <c r="A38" s="10"/>
      <c r="B38" s="10"/>
      <c r="J38" s="38"/>
      <c r="K38" s="38"/>
    </row>
    <row r="39" spans="1:16" x14ac:dyDescent="0.2">
      <c r="A39" s="10"/>
      <c r="B39" s="10"/>
    </row>
    <row r="40" spans="1:16" x14ac:dyDescent="0.2">
      <c r="A40" s="10"/>
      <c r="B40" s="10"/>
      <c r="F40" s="47"/>
      <c r="G40" s="47"/>
      <c r="H40" s="48"/>
    </row>
    <row r="41" spans="1:16" x14ac:dyDescent="0.2">
      <c r="A41" s="10"/>
      <c r="B41" s="10"/>
      <c r="F41" s="47"/>
      <c r="G41" s="47"/>
      <c r="H41" s="48"/>
    </row>
    <row r="42" spans="1:16" x14ac:dyDescent="0.2">
      <c r="A42" s="10"/>
      <c r="B42" s="10"/>
      <c r="F42" s="47"/>
      <c r="G42" s="47"/>
      <c r="H42" s="48"/>
    </row>
    <row r="43" spans="1:16" x14ac:dyDescent="0.2">
      <c r="A43" s="10"/>
      <c r="B43" s="10"/>
      <c r="F43" s="47"/>
      <c r="G43" s="47"/>
      <c r="H43" s="48"/>
    </row>
    <row r="44" spans="1:16" x14ac:dyDescent="0.2">
      <c r="A44" s="10"/>
      <c r="B44" s="10"/>
      <c r="F44" s="47"/>
      <c r="G44" s="47"/>
      <c r="H44" s="48"/>
    </row>
    <row r="45" spans="1:16" x14ac:dyDescent="0.2">
      <c r="A45" s="10"/>
      <c r="B45" s="10"/>
      <c r="F45" s="47"/>
      <c r="G45" s="47"/>
      <c r="H45" s="48"/>
    </row>
  </sheetData>
  <customSheetViews>
    <customSheetView guid="{05F31C55-5A63-4185-94EE-3B86EBC7BC06}" showGridLines="0" fitToPage="1" printArea="1" hiddenColumns="1">
      <selection activeCell="M24" sqref="M24"/>
      <pageMargins left="0.70866141732283472" right="0.70866141732283472" top="0.74803149606299213" bottom="0.74803149606299213" header="0.31496062992125984" footer="0.31496062992125984"/>
      <pageSetup paperSize="9" scale="44" orientation="landscape" r:id="rId1"/>
    </customSheetView>
    <customSheetView guid="{D9EC4BC1-BE33-4151-9050-6DA46362DD72}" showPageBreaks="1" showGridLines="0" fitToPage="1" printArea="1" hiddenRows="1">
      <selection activeCell="G3" sqref="G3"/>
      <pageMargins left="0.70866141732283472" right="0.70866141732283472" top="0.74803149606299213" bottom="0.74803149606299213" header="0.31496062992125984" footer="0.31496062992125984"/>
      <pageSetup paperSize="9" scale="44" orientation="landscape" r:id="rId2"/>
    </customSheetView>
    <customSheetView guid="{7EB3D213-9298-4B62-AE0C-1089F6E8DF3E}" scale="60" showGridLines="0" fitToPage="1" printArea="1" hiddenRows="1" hiddenColumns="1">
      <selection activeCell="M12" sqref="A1:M12"/>
      <pageMargins left="0.70866141732283472" right="0.70866141732283472" top="0.74803149606299213" bottom="0.74803149606299213" header="0.31496062992125984" footer="0.31496062992125984"/>
      <pageSetup paperSize="9" scale="44" orientation="landscape" r:id="rId3"/>
    </customSheetView>
  </customSheetViews>
  <mergeCells count="1">
    <mergeCell ref="A10:D10"/>
  </mergeCells>
  <pageMargins left="0.70866141732283472" right="0.70866141732283472" top="0.74803149606299213" bottom="0.74803149606299213" header="0.31496062992125984" footer="0.31496062992125984"/>
  <pageSetup paperSize="9" scale="4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By month</vt:lpstr>
      <vt:lpstr>By quarter</vt:lpstr>
      <vt:lpstr>'By month'!Print_Area</vt:lpstr>
      <vt:lpstr>'By quarter'!Print_Area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Campbell</dc:creator>
  <cp:lastModifiedBy>Jay McCutcheon</cp:lastModifiedBy>
  <cp:lastPrinted>2024-12-06T13:19:11Z</cp:lastPrinted>
  <dcterms:created xsi:type="dcterms:W3CDTF">2023-01-16T09:14:20Z</dcterms:created>
  <dcterms:modified xsi:type="dcterms:W3CDTF">2024-12-09T12:56:55Z</dcterms:modified>
</cp:coreProperties>
</file>